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6.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5.xml" ContentType="application/vnd.openxmlformats-officedocument.spreadsheetml.worksheet+xml"/>
  <Override PartName="/xl/drawings/drawing1.xml" ContentType="application/vnd.openxmlformats-officedocument.drawing+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3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customXml/itemProps3.xml" ContentType="application/vnd.openxmlformats-officedocument.customXmlProperties+xml"/>
  <Override PartName="/docProps/core.xml" ContentType="application/vnd.openxmlformats-package.core-propertie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1"/>
  <workbookPr defaultThemeVersion="124226"/>
  <mc:AlternateContent xmlns:mc="http://schemas.openxmlformats.org/markup-compatibility/2006">
    <mc:Choice Requires="x15">
      <x15ac:absPath xmlns:x15ac="http://schemas.microsoft.com/office/spreadsheetml/2010/11/ac" url="/Users/mariebarlow/Google Drive (Sanger)/Shared with Marie B/NWEC/PSE GRC UE-190529 UG-190530/Testimony/Response Testimony/NWEC/Amy/Exhibits/"/>
    </mc:Choice>
  </mc:AlternateContent>
  <xr:revisionPtr revIDLastSave="0" documentId="13_ncr:1_{32C159BE-03A1-D94E-8CAB-84AC2F4C2916}" xr6:coauthVersionLast="36" xr6:coauthVersionMax="36" xr10:uidLastSave="{00000000-0000-0000-0000-000000000000}"/>
  <bookViews>
    <workbookView xWindow="-33820" yWindow="-10460" windowWidth="26740" windowHeight="14900" firstSheet="12" activeTab="20" xr2:uid="{00000000-000D-0000-FFFF-FFFF00000000}"/>
  </bookViews>
  <sheets>
    <sheet name="Residential LE Allowance" sheetId="141" r:id="rId1"/>
    <sheet name="Sch 31-41-86 LE Allowance" sheetId="142" r:id="rId2"/>
    <sheet name="Sch 85-87 LE Allowance" sheetId="144" r:id="rId3"/>
    <sheet name="Rate Change Calc" sheetId="19" r:id="rId4"/>
    <sheet name="Cost of Capital" sheetId="143" r:id="rId5"/>
    <sheet name="3% Test" sheetId="63" r:id="rId6"/>
    <sheet name="Gas Earn Test" sheetId="102" r:id="rId7"/>
    <sheet name="Earnings Test Allocation" sheetId="103" r:id="rId8"/>
    <sheet name="Deferral Balance" sheetId="108" r:id="rId9"/>
    <sheet name="Sch142 NonRes Rate Development" sheetId="96" r:id="rId10"/>
    <sheet name="Account Balance" sheetId="84" r:id="rId11"/>
    <sheet name="Amort Estimate" sheetId="137" r:id="rId12"/>
    <sheet name="F2015 Forecast" sheetId="85" r:id="rId13"/>
    <sheet name="Summary of Rates" sheetId="92" r:id="rId14"/>
    <sheet name="Rate Impact - Amort" sheetId="128" r:id="rId15"/>
    <sheet name="Rate Impact - K-Factor" sheetId="127" r:id="rId16"/>
    <sheet name="Total Rate Impact" sheetId="97" r:id="rId17"/>
    <sheet name="Res Bill" sheetId="91" r:id="rId18"/>
    <sheet name="K-Factor Impact" sheetId="115" r:id="rId19"/>
    <sheet name="Work Papers--&gt;" sheetId="36" r:id="rId20"/>
    <sheet name="Rate Impact Rev" sheetId="109" r:id="rId21"/>
    <sheet name="Sch 142 Revenue Over ERF" sheetId="110" r:id="rId22"/>
    <sheet name="Rate Plan Rates" sheetId="125" r:id="rId23"/>
    <sheet name="Sch142 Amort Rate % Calc" sheetId="118" r:id="rId24"/>
    <sheet name="Sch142 NonRes Amort Rate Dev" sheetId="123" r:id="rId25"/>
    <sheet name="Res Deferral Calc 2015" sheetId="135" r:id="rId26"/>
    <sheet name="Non-Res Deferral Calc 2015" sheetId="136" r:id="rId27"/>
    <sheet name="CY2015 Data" sheetId="86" r:id="rId28"/>
    <sheet name="Gas Margin Calc" sheetId="105" r:id="rId29"/>
    <sheet name="2015 Res Deferral Calc Comp" sheetId="139" r:id="rId30"/>
    <sheet name="2015 NonRes Deferral Calc Comp" sheetId="140" r:id="rId31"/>
    <sheet name="2013 ERF Margin Rate" sheetId="94" r:id="rId32"/>
    <sheet name="2013 ERF - Rate Design" sheetId="95" r:id="rId33"/>
    <sheet name="Gas ERF UG-130138 Conv Fctr" sheetId="113" r:id="rId34"/>
    <sheet name="JPG-4" sheetId="93" r:id="rId35"/>
    <sheet name="JPG-5" sheetId="116" r:id="rId36"/>
    <sheet name="ERF Customer Counts" sheetId="145" r:id="rId37"/>
  </sheets>
  <externalReferences>
    <externalReference r:id="rId38"/>
    <externalReference r:id="rId39"/>
  </externalReferences>
  <definedNames>
    <definedName name="_Order1" localSheetId="32">0</definedName>
    <definedName name="_Order1" localSheetId="27">0</definedName>
    <definedName name="_Order1" localSheetId="12">0</definedName>
    <definedName name="_Order1" localSheetId="14">0</definedName>
    <definedName name="_Order1" localSheetId="15">0</definedName>
    <definedName name="_Order1" localSheetId="22">0</definedName>
    <definedName name="_Order1" localSheetId="17">0</definedName>
    <definedName name="_Order1" localSheetId="24">0</definedName>
    <definedName name="_Order1" localSheetId="9">0</definedName>
    <definedName name="_Order1" localSheetId="13">0</definedName>
    <definedName name="_Order1" localSheetId="16">0</definedName>
    <definedName name="_Order1">255</definedName>
    <definedName name="_Order2" localSheetId="32">0</definedName>
    <definedName name="_Order2" localSheetId="27">0</definedName>
    <definedName name="_Order2" localSheetId="12">0</definedName>
    <definedName name="_Order2" localSheetId="14">0</definedName>
    <definedName name="_Order2" localSheetId="15">0</definedName>
    <definedName name="_Order2" localSheetId="22">0</definedName>
    <definedName name="_Order2" localSheetId="17">0</definedName>
    <definedName name="_Order2" localSheetId="24">0</definedName>
    <definedName name="_Order2" localSheetId="9">0</definedName>
    <definedName name="_Order2" localSheetId="13">0</definedName>
    <definedName name="_Order2" localSheetId="16">0</definedName>
    <definedName name="_Order2">255</definedName>
    <definedName name="_Regression_Int">1</definedName>
    <definedName name="AccessDatabase">"I:\COMTREL\FINICLE\TradeSummary.mdb"</definedName>
    <definedName name="AS2DocOpenMode">"AS2DocumentEdit"</definedName>
    <definedName name="CBWorkbookPriority">-2060790043</definedName>
    <definedName name="data1">'[1]Mix Variance'!$O$5:$T$25</definedName>
    <definedName name="ee" localSheetId="30" hidden="1">{#N/A,#N/A,FALSE,"Month ";#N/A,#N/A,FALSE,"YTD";#N/A,#N/A,FALSE,"12 mo ended"}</definedName>
    <definedName name="ee" localSheetId="29" hidden="1">{#N/A,#N/A,FALSE,"Month ";#N/A,#N/A,FALSE,"YTD";#N/A,#N/A,FALSE,"12 mo ended"}</definedName>
    <definedName name="ee" hidden="1">{#N/A,#N/A,FALSE,"Month ";#N/A,#N/A,FALSE,"YTD";#N/A,#N/A,FALSE,"12 mo ended"}</definedName>
    <definedName name="fdasfda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30" hidden="1">{#N/A,#N/A,FALSE,"Month ";#N/A,#N/A,FALSE,"YTD";#N/A,#N/A,FALSE,"12 mo ended"}</definedName>
    <definedName name="fdsafdasfdsa" localSheetId="29" hidden="1">{#N/A,#N/A,FALSE,"Month ";#N/A,#N/A,FALSE,"YTD";#N/A,#N/A,FALSE,"12 mo ended"}</definedName>
    <definedName name="fdsafdasfdsa" hidden="1">{#N/A,#N/A,FALSE,"Month ";#N/A,#N/A,FALSE,"YTD";#N/A,#N/A,FALSE,"12 mo ended"}</definedName>
    <definedName name="HTML_CodePage">1252</definedName>
    <definedName name="HTML_Control" localSheetId="30">{"'Sheet1'!$A$1:$J$121"}</definedName>
    <definedName name="HTML_Control" localSheetId="29">{"'Sheet1'!$A$1:$J$121"}</definedName>
    <definedName name="HTML_Control" localSheetId="8">{"'Sheet1'!$A$1:$J$121"}</definedName>
    <definedName name="HTML_Control" localSheetId="7">{"'Sheet1'!$A$1:$J$121"}</definedName>
    <definedName name="HTML_Control" localSheetId="28">{"'Sheet1'!$A$1:$J$121"}</definedName>
    <definedName name="HTML_Control" localSheetId="18">{"'Sheet1'!$A$1:$J$121"}</definedName>
    <definedName name="HTML_Control" localSheetId="26">{"'Sheet1'!$A$1:$J$121"}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k"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p" localSheetId="3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2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32">'2013 ERF - Rate Design'!$A$1:$Q$226</definedName>
    <definedName name="_xlnm.Print_Area" localSheetId="5">'3% Test'!$A$1:$E$37</definedName>
    <definedName name="_xlnm.Print_Area" localSheetId="10">'Account Balance'!$A$1:$AQ$70</definedName>
    <definedName name="_xlnm.Print_Area" localSheetId="8">'Deferral Balance'!$A$1:$E$28</definedName>
    <definedName name="_xlnm.Print_Area" localSheetId="7">'Earnings Test Allocation'!$A$1:$F$18</definedName>
    <definedName name="_xlnm.Print_Area" localSheetId="12">'F2015 Forecast'!$A$1:$P$42</definedName>
    <definedName name="_xlnm.Print_Area" localSheetId="6">'Gas Earn Test'!$A$1:$F$27</definedName>
    <definedName name="_xlnm.Print_Area" localSheetId="3">'Rate Change Calc'!$A$1:$E$55</definedName>
    <definedName name="_xlnm.Print_Area" localSheetId="14">'Rate Impact - Amort'!$A$1:$L$106</definedName>
    <definedName name="_xlnm.Print_Area" localSheetId="15">'Rate Impact - K-Factor'!$B$1:$L$106</definedName>
    <definedName name="_xlnm.Print_Area" localSheetId="22">'Rate Plan Rates'!$A$1:$G$52</definedName>
    <definedName name="_xlnm.Print_Area" localSheetId="9">'Sch142 NonRes Rate Development'!$A$1:$K$47</definedName>
    <definedName name="_xlnm.Print_Area" localSheetId="13">'Summary of Rates'!$A$1:$H$94</definedName>
    <definedName name="_xlnm.Print_Titles" localSheetId="32">'2013 ERF - Rate Design'!$1:$7</definedName>
    <definedName name="_xlnm.Print_Titles" localSheetId="10">'Account Balance'!$A:$C,'Account Balance'!$1:$8</definedName>
    <definedName name="_xlnm.Print_Titles" localSheetId="14">'Rate Impact - Amort'!$1:$9</definedName>
    <definedName name="_xlnm.Print_Titles" localSheetId="15">'Rate Impact - K-Factor'!$1:$9</definedName>
    <definedName name="_xlnm.Print_Titles" localSheetId="21">'Sch 142 Revenue Over ERF'!$1:$8</definedName>
    <definedName name="_xlnm.Print_Titles" localSheetId="13">'Summary of Rates'!$1:$8</definedName>
    <definedName name="_xlnm.Print_Titles" localSheetId="16">'Total Rate Impact'!$1:$8</definedName>
    <definedName name="ResExchCrRate">[2]Sch_194!$M$31</definedName>
    <definedName name="Return">'Cost of Capital'!$E$42</definedName>
    <definedName name="SAPBEXhrIndnt">"Wide"</definedName>
    <definedName name="SAPsysID">"708C5W7SBKP804JT78WJ0JNKI"</definedName>
    <definedName name="SAPwbID">"ARS"</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we" localSheetId="30" hidden="1">{#N/A,#N/A,FALSE,"Pg 6b CustCount_Gas";#N/A,#N/A,FALSE,"QA";#N/A,#N/A,FALSE,"Report";#N/A,#N/A,FALSE,"forecast"}</definedName>
    <definedName name="we" localSheetId="29" hidden="1">{#N/A,#N/A,FALSE,"Pg 6b CustCount_Gas";#N/A,#N/A,FALSE,"QA";#N/A,#N/A,FALSE,"Report";#N/A,#N/A,FALSE,"forecast"}</definedName>
    <definedName name="we" hidden="1">{#N/A,#N/A,FALSE,"Pg 6b CustCount_Gas";#N/A,#N/A,FALSE,"QA";#N/A,#N/A,FALSE,"Report";#N/A,#N/A,FALSE,"forecast"}</definedName>
    <definedName name="wrn.Customer._.Counts._.Electric." localSheetId="3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30" hidden="1">{#N/A,#N/A,FALSE,"Pg 6b CustCount_Gas";#N/A,#N/A,FALSE,"QA";#N/A,#N/A,FALSE,"Report";#N/A,#N/A,FALSE,"forecast"}</definedName>
    <definedName name="wrn.Customer._.Counts._.Gas." localSheetId="29" hidden="1">{#N/A,#N/A,FALSE,"Pg 6b CustCount_Gas";#N/A,#N/A,FALSE,"QA";#N/A,#N/A,FALSE,"Report";#N/A,#N/A,FALSE,"forecast"}</definedName>
    <definedName name="wrn.Customer._.Counts._.Gas." hidden="1">{#N/A,#N/A,FALSE,"Pg 6b CustCount_Gas";#N/A,#N/A,FALSE,"QA";#N/A,#N/A,FALSE,"Report";#N/A,#N/A,FALSE,"forecast"}</definedName>
    <definedName name="wrn.Incentive._.Overhead." localSheetId="30" hidden="1">{#N/A,#N/A,FALSE,"Coversheet";#N/A,#N/A,FALSE,"QA"}</definedName>
    <definedName name="wrn.Incentive._.Overhead." localSheetId="29" hidden="1">{#N/A,#N/A,FALSE,"Coversheet";#N/A,#N/A,FALSE,"QA"}</definedName>
    <definedName name="wrn.Incentive._.Overhead." hidden="1">{#N/A,#N/A,FALSE,"Coversheet";#N/A,#N/A,FALSE,"QA"}</definedName>
    <definedName name="wrn.MARGIN_WO_QTR." localSheetId="30" hidden="1">{#N/A,#N/A,FALSE,"Month ";#N/A,#N/A,FALSE,"YTD";#N/A,#N/A,FALSE,"12 mo ended"}</definedName>
    <definedName name="wrn.MARGIN_WO_QTR." localSheetId="29" hidden="1">{#N/A,#N/A,FALSE,"Month ";#N/A,#N/A,FALSE,"YTD";#N/A,#N/A,FALSE,"12 mo ended"}</definedName>
    <definedName name="wrn.MARGIN_WO_QTR." hidden="1">{#N/A,#N/A,FALSE,"Month ";#N/A,#N/A,FALSE,"YTD";#N/A,#N/A,FALSE,"12 mo ended"}</definedName>
    <definedName name="wrn.Municipal._.Reports." localSheetId="3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y" localSheetId="30"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29"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43" l="1"/>
  <c r="E40" i="143"/>
  <c r="E42" i="143"/>
  <c r="N44" i="145" l="1"/>
  <c r="M44" i="145"/>
  <c r="L44" i="145"/>
  <c r="K44" i="145"/>
  <c r="J44" i="145"/>
  <c r="I44" i="145"/>
  <c r="H44" i="145"/>
  <c r="G44" i="145"/>
  <c r="F44" i="145"/>
  <c r="E44" i="145"/>
  <c r="D44" i="145"/>
  <c r="C44" i="145"/>
  <c r="B44" i="145"/>
  <c r="N41" i="145"/>
  <c r="M41" i="145"/>
  <c r="L41" i="145"/>
  <c r="K41" i="145"/>
  <c r="J41" i="145"/>
  <c r="I41" i="145"/>
  <c r="H41" i="145"/>
  <c r="G41" i="145"/>
  <c r="F41" i="145"/>
  <c r="E41" i="145"/>
  <c r="D41" i="145"/>
  <c r="C41" i="145"/>
  <c r="B41" i="145"/>
  <c r="N47" i="145"/>
  <c r="C11" i="144" s="1"/>
  <c r="M47" i="145"/>
  <c r="L47" i="145"/>
  <c r="K47" i="145"/>
  <c r="J47" i="145"/>
  <c r="I47" i="145"/>
  <c r="H47" i="145"/>
  <c r="G47" i="145"/>
  <c r="F47" i="145"/>
  <c r="E47" i="145"/>
  <c r="D47" i="145"/>
  <c r="C47" i="145"/>
  <c r="N46" i="145"/>
  <c r="B11" i="144" s="1"/>
  <c r="M46" i="145"/>
  <c r="L46" i="145"/>
  <c r="K46" i="145"/>
  <c r="J46" i="145"/>
  <c r="I46" i="145"/>
  <c r="H46" i="145"/>
  <c r="G46" i="145"/>
  <c r="F46" i="145"/>
  <c r="E46" i="145"/>
  <c r="D46" i="145"/>
  <c r="C46" i="145"/>
  <c r="N45" i="145"/>
  <c r="M45" i="145"/>
  <c r="L45" i="145"/>
  <c r="K45" i="145"/>
  <c r="J45" i="145"/>
  <c r="I45" i="145"/>
  <c r="H45" i="145"/>
  <c r="G45" i="145"/>
  <c r="F45" i="145"/>
  <c r="E45" i="145"/>
  <c r="D45" i="145"/>
  <c r="C45" i="145"/>
  <c r="N43" i="145"/>
  <c r="M43" i="145"/>
  <c r="L43" i="145"/>
  <c r="K43" i="145"/>
  <c r="J43" i="145"/>
  <c r="I43" i="145"/>
  <c r="H43" i="145"/>
  <c r="G43" i="145"/>
  <c r="F43" i="145"/>
  <c r="E43" i="145"/>
  <c r="D43" i="145"/>
  <c r="C43" i="145"/>
  <c r="N42" i="145"/>
  <c r="M42" i="145"/>
  <c r="L42" i="145"/>
  <c r="K42" i="145"/>
  <c r="J42" i="145"/>
  <c r="I42" i="145"/>
  <c r="H42" i="145"/>
  <c r="G42" i="145"/>
  <c r="F42" i="145"/>
  <c r="E42" i="145"/>
  <c r="D42" i="145"/>
  <c r="C42" i="145"/>
  <c r="B47" i="145"/>
  <c r="B46" i="145"/>
  <c r="B45" i="145"/>
  <c r="B43" i="145"/>
  <c r="B42" i="145"/>
  <c r="D11" i="144" l="1"/>
  <c r="E11" i="144"/>
  <c r="B10" i="142" l="1"/>
  <c r="B12" i="142" s="1"/>
  <c r="E36" i="143"/>
  <c r="E38" i="143" s="1"/>
  <c r="E39" i="143" s="1"/>
  <c r="B34" i="143"/>
  <c r="D19" i="143"/>
  <c r="C19" i="143"/>
  <c r="D18" i="143"/>
  <c r="C18" i="143"/>
  <c r="E18" i="143" s="1"/>
  <c r="D17" i="143"/>
  <c r="D16" i="143"/>
  <c r="C16" i="143"/>
  <c r="E13" i="143"/>
  <c r="E12" i="143"/>
  <c r="C11" i="143"/>
  <c r="E11" i="143" s="1"/>
  <c r="E17" i="143" s="1"/>
  <c r="E10" i="143"/>
  <c r="E14" i="143" s="1"/>
  <c r="C10" i="141"/>
  <c r="B10" i="141"/>
  <c r="B12" i="141" s="1"/>
  <c r="C8" i="141"/>
  <c r="C12" i="141" l="1"/>
  <c r="E19" i="143"/>
  <c r="C10" i="142"/>
  <c r="E16" i="143"/>
  <c r="C17" i="143"/>
  <c r="C20" i="143" s="1"/>
  <c r="C14" i="141" l="1"/>
  <c r="C16" i="141" s="1"/>
  <c r="E16" i="144"/>
  <c r="C16" i="144"/>
  <c r="D16" i="144"/>
  <c r="C14" i="142"/>
  <c r="B16" i="144"/>
  <c r="B14" i="142"/>
  <c r="B16" i="142" s="1"/>
  <c r="B14" i="141"/>
  <c r="B16" i="141" s="1"/>
  <c r="O8" i="85"/>
  <c r="N8" i="85"/>
  <c r="M8" i="85"/>
  <c r="L8" i="85"/>
  <c r="K8" i="85"/>
  <c r="J8" i="85"/>
  <c r="I8" i="85"/>
  <c r="H8" i="85"/>
  <c r="G8" i="85"/>
  <c r="F8" i="85"/>
  <c r="E8" i="85"/>
  <c r="D8" i="85"/>
  <c r="C8" i="85"/>
  <c r="B8" i="85"/>
  <c r="I19" i="128" l="1"/>
  <c r="I19" i="127"/>
  <c r="I18" i="97"/>
  <c r="I20" i="97" s="1"/>
  <c r="I35" i="97"/>
  <c r="J16" i="109"/>
  <c r="C12" i="105" l="1"/>
  <c r="C11" i="105"/>
  <c r="F89" i="110" l="1"/>
  <c r="F90" i="110"/>
  <c r="F91" i="110"/>
  <c r="F92" i="110"/>
  <c r="F93" i="110"/>
  <c r="F88" i="110"/>
  <c r="F85" i="110"/>
  <c r="F77" i="110"/>
  <c r="F78" i="110"/>
  <c r="F79" i="110"/>
  <c r="F80" i="110"/>
  <c r="F81" i="110"/>
  <c r="F76" i="110"/>
  <c r="F74" i="110"/>
  <c r="F72" i="110"/>
  <c r="F48" i="110"/>
  <c r="F49" i="110"/>
  <c r="F47" i="110"/>
  <c r="F44" i="110"/>
  <c r="F39" i="110"/>
  <c r="F40" i="110"/>
  <c r="F38" i="110"/>
  <c r="F36" i="110"/>
  <c r="F34" i="110"/>
  <c r="M27" i="109" l="1"/>
  <c r="J28" i="109"/>
  <c r="J14" i="109"/>
  <c r="J18" i="109"/>
  <c r="J19" i="109"/>
  <c r="J21" i="109"/>
  <c r="J22" i="109"/>
  <c r="J24" i="109"/>
  <c r="J25" i="109"/>
  <c r="J27" i="109"/>
  <c r="J12" i="109"/>
  <c r="F95" i="97" l="1"/>
  <c r="F96" i="97"/>
  <c r="F97" i="97"/>
  <c r="F98" i="97"/>
  <c r="F99" i="97"/>
  <c r="F94" i="97"/>
  <c r="F91" i="97"/>
  <c r="F83" i="97"/>
  <c r="F84" i="97"/>
  <c r="F85" i="97"/>
  <c r="F86" i="97"/>
  <c r="F87" i="97"/>
  <c r="F82" i="97"/>
  <c r="F80" i="97"/>
  <c r="F78" i="97"/>
  <c r="F54" i="97"/>
  <c r="F55" i="97"/>
  <c r="F53" i="97"/>
  <c r="F50" i="97"/>
  <c r="F45" i="97"/>
  <c r="F46" i="97"/>
  <c r="F44" i="97"/>
  <c r="F42" i="97"/>
  <c r="F40" i="97"/>
  <c r="F96" i="127"/>
  <c r="F97" i="127"/>
  <c r="F98" i="127"/>
  <c r="F99" i="127"/>
  <c r="F100" i="127"/>
  <c r="F95" i="127"/>
  <c r="F92" i="127"/>
  <c r="F84" i="127"/>
  <c r="F85" i="127"/>
  <c r="F86" i="127"/>
  <c r="F87" i="127"/>
  <c r="F88" i="127"/>
  <c r="F83" i="127"/>
  <c r="F81" i="127"/>
  <c r="F79" i="127"/>
  <c r="F55" i="127"/>
  <c r="F56" i="127"/>
  <c r="F54" i="127"/>
  <c r="F51" i="127"/>
  <c r="F46" i="127"/>
  <c r="F47" i="127"/>
  <c r="F45" i="127"/>
  <c r="F43" i="127"/>
  <c r="F41" i="127"/>
  <c r="H92" i="92"/>
  <c r="H91" i="92"/>
  <c r="H90" i="92"/>
  <c r="H89" i="92"/>
  <c r="H88" i="92"/>
  <c r="H87" i="92"/>
  <c r="H84" i="92"/>
  <c r="H81" i="92"/>
  <c r="H80" i="92"/>
  <c r="H79" i="92"/>
  <c r="H78" i="92"/>
  <c r="H77" i="92"/>
  <c r="H76" i="92"/>
  <c r="H73" i="92"/>
  <c r="H72" i="92"/>
  <c r="H54" i="92"/>
  <c r="H53" i="92"/>
  <c r="H52" i="92"/>
  <c r="H49" i="92"/>
  <c r="H46" i="92"/>
  <c r="H45" i="92"/>
  <c r="H44" i="92"/>
  <c r="H41" i="92"/>
  <c r="H40" i="92"/>
  <c r="I9" i="127" l="1"/>
  <c r="I9" i="128"/>
  <c r="D29" i="140" l="1"/>
  <c r="E29" i="140"/>
  <c r="F29" i="140"/>
  <c r="G29" i="140"/>
  <c r="H29" i="140"/>
  <c r="I29" i="140"/>
  <c r="J29" i="140"/>
  <c r="K29" i="140"/>
  <c r="L29" i="140"/>
  <c r="M29" i="140"/>
  <c r="N29" i="140"/>
  <c r="D30" i="140"/>
  <c r="E30" i="140"/>
  <c r="F30" i="140"/>
  <c r="G30" i="140"/>
  <c r="H30" i="140"/>
  <c r="I30" i="140"/>
  <c r="J30" i="140"/>
  <c r="K30" i="140"/>
  <c r="L30" i="140"/>
  <c r="M30" i="140"/>
  <c r="N30" i="140"/>
  <c r="D25" i="140"/>
  <c r="E25" i="140"/>
  <c r="F25" i="140"/>
  <c r="G25" i="140"/>
  <c r="H25" i="140"/>
  <c r="I25" i="140"/>
  <c r="J25" i="140"/>
  <c r="K25" i="140"/>
  <c r="L25" i="140"/>
  <c r="M25" i="140"/>
  <c r="N25" i="140"/>
  <c r="D26" i="140"/>
  <c r="E26" i="140"/>
  <c r="F26" i="140"/>
  <c r="G26" i="140"/>
  <c r="H26" i="140"/>
  <c r="I26" i="140"/>
  <c r="J26" i="140"/>
  <c r="K26" i="140"/>
  <c r="L26" i="140"/>
  <c r="M26" i="140"/>
  <c r="N26" i="140"/>
  <c r="D21" i="140"/>
  <c r="E21" i="140"/>
  <c r="F21" i="140"/>
  <c r="G21" i="140"/>
  <c r="H21" i="140"/>
  <c r="I21" i="140"/>
  <c r="J21" i="140"/>
  <c r="K21" i="140"/>
  <c r="L21" i="140"/>
  <c r="M21" i="140"/>
  <c r="N21" i="140"/>
  <c r="D22" i="140"/>
  <c r="E22" i="140"/>
  <c r="F22" i="140"/>
  <c r="G22" i="140"/>
  <c r="H22" i="140"/>
  <c r="I22" i="140"/>
  <c r="J22" i="140"/>
  <c r="K22" i="140"/>
  <c r="L22" i="140"/>
  <c r="M22" i="140"/>
  <c r="N22" i="140"/>
  <c r="C30" i="140"/>
  <c r="C29" i="140"/>
  <c r="C26" i="140"/>
  <c r="C25" i="140"/>
  <c r="C22" i="140"/>
  <c r="C21" i="140"/>
  <c r="D29" i="139" l="1"/>
  <c r="E29" i="139"/>
  <c r="F29" i="139"/>
  <c r="G29" i="139"/>
  <c r="H29" i="139"/>
  <c r="I29" i="139"/>
  <c r="J29" i="139"/>
  <c r="K29" i="139"/>
  <c r="L29" i="139"/>
  <c r="M29" i="139"/>
  <c r="N29" i="139"/>
  <c r="D30" i="139"/>
  <c r="E30" i="139"/>
  <c r="F30" i="139"/>
  <c r="G30" i="139"/>
  <c r="H30" i="139"/>
  <c r="I30" i="139"/>
  <c r="J30" i="139"/>
  <c r="K30" i="139"/>
  <c r="L30" i="139"/>
  <c r="M30" i="139"/>
  <c r="N30" i="139"/>
  <c r="C30" i="139"/>
  <c r="C29" i="139"/>
  <c r="C31" i="139" s="1"/>
  <c r="D25" i="139"/>
  <c r="E25" i="139"/>
  <c r="F25" i="139"/>
  <c r="G25" i="139"/>
  <c r="H25" i="139"/>
  <c r="I25" i="139"/>
  <c r="J25" i="139"/>
  <c r="K25" i="139"/>
  <c r="L25" i="139"/>
  <c r="M25" i="139"/>
  <c r="N25" i="139"/>
  <c r="D26" i="139"/>
  <c r="E26" i="139"/>
  <c r="F26" i="139"/>
  <c r="G26" i="139"/>
  <c r="H26" i="139"/>
  <c r="I26" i="139"/>
  <c r="J26" i="139"/>
  <c r="K26" i="139"/>
  <c r="L26" i="139"/>
  <c r="M26" i="139"/>
  <c r="N26" i="139"/>
  <c r="C26" i="139"/>
  <c r="C25" i="139"/>
  <c r="D21" i="139"/>
  <c r="E21" i="139"/>
  <c r="F21" i="139"/>
  <c r="G21" i="139"/>
  <c r="H21" i="139"/>
  <c r="I21" i="139"/>
  <c r="J21" i="139"/>
  <c r="K21" i="139"/>
  <c r="L21" i="139"/>
  <c r="M21" i="139"/>
  <c r="N21" i="139"/>
  <c r="D22" i="139"/>
  <c r="E22" i="139"/>
  <c r="F22" i="139"/>
  <c r="G22" i="139"/>
  <c r="H22" i="139"/>
  <c r="I22" i="139"/>
  <c r="J22" i="139"/>
  <c r="K22" i="139"/>
  <c r="L22" i="139"/>
  <c r="M22" i="139"/>
  <c r="N22" i="139"/>
  <c r="C22" i="139"/>
  <c r="C21" i="139"/>
  <c r="C39" i="139" s="1"/>
  <c r="N31" i="139" l="1"/>
  <c r="M31" i="139"/>
  <c r="L31" i="139"/>
  <c r="K31" i="139"/>
  <c r="J31" i="139"/>
  <c r="I31" i="139"/>
  <c r="H31" i="139"/>
  <c r="G31" i="139"/>
  <c r="F31" i="139"/>
  <c r="E31" i="139"/>
  <c r="D31" i="139"/>
  <c r="AN13" i="84"/>
  <c r="AO13" i="84"/>
  <c r="AN20" i="84"/>
  <c r="AO20" i="84"/>
  <c r="AN28" i="84"/>
  <c r="AO28" i="84"/>
  <c r="AP28" i="84"/>
  <c r="AQ28" i="84"/>
  <c r="AN36" i="84"/>
  <c r="AO36" i="84"/>
  <c r="AP36" i="84"/>
  <c r="AQ36" i="84"/>
  <c r="AN45" i="84"/>
  <c r="AO45" i="84"/>
  <c r="AP45" i="84"/>
  <c r="AQ45" i="84"/>
  <c r="AN53" i="84"/>
  <c r="AO53" i="84"/>
  <c r="AP53" i="84"/>
  <c r="AQ53" i="84"/>
  <c r="AN62" i="84"/>
  <c r="AO62" i="84"/>
  <c r="AP62" i="84"/>
  <c r="AQ62" i="84"/>
  <c r="AE61" i="84"/>
  <c r="AF61" i="84"/>
  <c r="AG61" i="84"/>
  <c r="AH61" i="84"/>
  <c r="AD61" i="84"/>
  <c r="AE52" i="84"/>
  <c r="AF52" i="84"/>
  <c r="AG52" i="84"/>
  <c r="AH52" i="84"/>
  <c r="AD52" i="84"/>
  <c r="K36" i="84"/>
  <c r="L36" i="84"/>
  <c r="M36" i="84"/>
  <c r="N36" i="84"/>
  <c r="O36" i="84"/>
  <c r="P36" i="84"/>
  <c r="Q36" i="84"/>
  <c r="R36" i="84"/>
  <c r="S36" i="84"/>
  <c r="T36" i="84"/>
  <c r="U36" i="84"/>
  <c r="V36" i="84"/>
  <c r="W36" i="84"/>
  <c r="X36" i="84"/>
  <c r="Y36" i="84"/>
  <c r="Z36" i="84"/>
  <c r="AA36" i="84"/>
  <c r="J36" i="84"/>
  <c r="AC61" i="84"/>
  <c r="AI61" i="84"/>
  <c r="AJ61" i="84"/>
  <c r="AK61" i="84"/>
  <c r="AL61" i="84"/>
  <c r="AM61" i="84"/>
  <c r="AC52" i="84"/>
  <c r="AI52" i="84"/>
  <c r="AJ52" i="84"/>
  <c r="AK52" i="84"/>
  <c r="AL52" i="84"/>
  <c r="AM52" i="84"/>
  <c r="AB61" i="84"/>
  <c r="AB52" i="84"/>
  <c r="AO67" i="84" l="1"/>
  <c r="AN67" i="84"/>
  <c r="U20" i="84"/>
  <c r="V20" i="84"/>
  <c r="W20" i="84"/>
  <c r="X20" i="84"/>
  <c r="Y20" i="84"/>
  <c r="Z20" i="84"/>
  <c r="AA20" i="84"/>
  <c r="T20" i="84"/>
  <c r="U13" i="84"/>
  <c r="V13" i="84"/>
  <c r="W13" i="84"/>
  <c r="X13" i="84"/>
  <c r="Y13" i="84"/>
  <c r="Z13" i="84"/>
  <c r="AA13" i="84"/>
  <c r="T13" i="84"/>
  <c r="D47" i="136" l="1"/>
  <c r="E47" i="136"/>
  <c r="F47" i="136"/>
  <c r="G47" i="136"/>
  <c r="H47" i="136"/>
  <c r="I47" i="136"/>
  <c r="J47" i="136"/>
  <c r="K47" i="136"/>
  <c r="L47" i="136"/>
  <c r="M47" i="136"/>
  <c r="N47" i="136"/>
  <c r="C47" i="136"/>
  <c r="C39" i="136"/>
  <c r="AB19" i="84" s="1"/>
  <c r="AB20" i="84" s="1"/>
  <c r="D39" i="136"/>
  <c r="AC19" i="84" s="1"/>
  <c r="AC20" i="84" s="1"/>
  <c r="E39" i="136"/>
  <c r="AD19" i="84" s="1"/>
  <c r="AD20" i="84" s="1"/>
  <c r="F39" i="136"/>
  <c r="AE19" i="84" s="1"/>
  <c r="AE20" i="84" s="1"/>
  <c r="D49" i="135"/>
  <c r="E49" i="135"/>
  <c r="F49" i="135"/>
  <c r="G49" i="135"/>
  <c r="H49" i="135"/>
  <c r="I49" i="135"/>
  <c r="J49" i="135"/>
  <c r="K49" i="135"/>
  <c r="L49" i="135"/>
  <c r="M49" i="135"/>
  <c r="N49" i="135"/>
  <c r="C49" i="135"/>
  <c r="D37" i="135"/>
  <c r="D41" i="135" s="1"/>
  <c r="AC12" i="84" s="1"/>
  <c r="AC13" i="84" s="1"/>
  <c r="E37" i="135"/>
  <c r="E41" i="135" s="1"/>
  <c r="AD12" i="84" s="1"/>
  <c r="AD13" i="84" s="1"/>
  <c r="F37" i="135"/>
  <c r="F41" i="135" s="1"/>
  <c r="AE12" i="84" s="1"/>
  <c r="AE13" i="84" s="1"/>
  <c r="G37" i="135"/>
  <c r="H37" i="135"/>
  <c r="I37" i="135"/>
  <c r="J37" i="135"/>
  <c r="K37" i="135"/>
  <c r="L37" i="135"/>
  <c r="M37" i="135"/>
  <c r="N37" i="135"/>
  <c r="C37" i="135"/>
  <c r="C41" i="135" s="1"/>
  <c r="AB12" i="84" s="1"/>
  <c r="AB13" i="84" s="1"/>
  <c r="AB28" i="84"/>
  <c r="AC28" i="84"/>
  <c r="AD28" i="84"/>
  <c r="AE28" i="84"/>
  <c r="AF28" i="84"/>
  <c r="AG28" i="84"/>
  <c r="AH28" i="84"/>
  <c r="AI28" i="84"/>
  <c r="AJ28" i="84"/>
  <c r="AK28" i="84"/>
  <c r="AL28" i="84"/>
  <c r="AM28" i="84"/>
  <c r="AB53" i="84"/>
  <c r="AC53" i="84"/>
  <c r="AD53" i="84"/>
  <c r="AE53" i="84"/>
  <c r="AF53" i="84"/>
  <c r="AG53" i="84"/>
  <c r="AH53" i="84"/>
  <c r="AI53" i="84"/>
  <c r="AJ53" i="84"/>
  <c r="AK53" i="84"/>
  <c r="AL53" i="84"/>
  <c r="AM53" i="84"/>
  <c r="AB62" i="84"/>
  <c r="AC62" i="84"/>
  <c r="AD62" i="84"/>
  <c r="AE62" i="84"/>
  <c r="AF62" i="84"/>
  <c r="AG62" i="84"/>
  <c r="AH62" i="84"/>
  <c r="AI62" i="84"/>
  <c r="AJ62" i="84"/>
  <c r="AK62" i="84"/>
  <c r="AL62" i="84"/>
  <c r="AM62" i="84"/>
  <c r="P26" i="85" l="1"/>
  <c r="I100" i="128" l="1"/>
  <c r="I99" i="128"/>
  <c r="I98" i="128"/>
  <c r="I97" i="128"/>
  <c r="I96" i="128"/>
  <c r="I95" i="128"/>
  <c r="I93" i="128"/>
  <c r="I88" i="128"/>
  <c r="I87" i="128"/>
  <c r="I86" i="128"/>
  <c r="I85" i="128"/>
  <c r="I84" i="128"/>
  <c r="I83" i="128"/>
  <c r="I81" i="128"/>
  <c r="I80" i="128"/>
  <c r="I73" i="128"/>
  <c r="I72" i="128"/>
  <c r="I70" i="128"/>
  <c r="I66" i="128"/>
  <c r="I65" i="128"/>
  <c r="I63" i="128"/>
  <c r="I62" i="128"/>
  <c r="I56" i="128"/>
  <c r="I55" i="128"/>
  <c r="I54" i="128"/>
  <c r="I52" i="128"/>
  <c r="I47" i="128"/>
  <c r="I46" i="128"/>
  <c r="I45" i="128"/>
  <c r="I43" i="128"/>
  <c r="I42" i="128"/>
  <c r="I35" i="128"/>
  <c r="I34" i="128"/>
  <c r="I32" i="128"/>
  <c r="I31" i="128"/>
  <c r="I27" i="128"/>
  <c r="I26" i="128"/>
  <c r="I24" i="128"/>
  <c r="I14" i="128"/>
  <c r="I21" i="128" s="1"/>
  <c r="I12" i="128"/>
  <c r="I100" i="127"/>
  <c r="I99" i="127"/>
  <c r="I98" i="127"/>
  <c r="I97" i="127"/>
  <c r="I96" i="127"/>
  <c r="I95" i="127"/>
  <c r="I93" i="127"/>
  <c r="I88" i="127"/>
  <c r="I87" i="127"/>
  <c r="I86" i="127"/>
  <c r="I85" i="127"/>
  <c r="I84" i="127"/>
  <c r="I83" i="127"/>
  <c r="I81" i="127"/>
  <c r="I80" i="127"/>
  <c r="I73" i="127"/>
  <c r="I72" i="127"/>
  <c r="I70" i="127"/>
  <c r="I66" i="127"/>
  <c r="I65" i="127"/>
  <c r="I63" i="127"/>
  <c r="I62" i="127"/>
  <c r="I56" i="127"/>
  <c r="I55" i="127"/>
  <c r="I54" i="127"/>
  <c r="I52" i="127"/>
  <c r="I47" i="127"/>
  <c r="I46" i="127"/>
  <c r="I45" i="127"/>
  <c r="I43" i="127"/>
  <c r="I42" i="127"/>
  <c r="I35" i="127"/>
  <c r="I34" i="127"/>
  <c r="I32" i="127"/>
  <c r="I31" i="127"/>
  <c r="I27" i="127"/>
  <c r="I26" i="127"/>
  <c r="I24" i="127"/>
  <c r="I14" i="127"/>
  <c r="I21" i="127" s="1"/>
  <c r="I12" i="127"/>
  <c r="A12" i="109" l="1"/>
  <c r="A13" i="109" s="1"/>
  <c r="A14" i="109" s="1"/>
  <c r="A15" i="109" s="1"/>
  <c r="A16" i="109" s="1"/>
  <c r="A17" i="109" s="1"/>
  <c r="A18" i="109" s="1"/>
  <c r="A19" i="109" s="1"/>
  <c r="A20" i="109" s="1"/>
  <c r="A21" i="109" s="1"/>
  <c r="A22" i="109" s="1"/>
  <c r="A23" i="109" s="1"/>
  <c r="A24" i="109" s="1"/>
  <c r="A25" i="109" s="1"/>
  <c r="A26" i="109" s="1"/>
  <c r="A27" i="109" s="1"/>
  <c r="A28" i="109" s="1"/>
  <c r="A29" i="109" s="1"/>
  <c r="A30" i="109" s="1"/>
  <c r="A31" i="109" s="1"/>
  <c r="B23" i="85"/>
  <c r="B20" i="85"/>
  <c r="C20" i="85"/>
  <c r="E20" i="85"/>
  <c r="F20" i="85"/>
  <c r="G20" i="85"/>
  <c r="H20" i="85"/>
  <c r="I20" i="85"/>
  <c r="J20" i="85"/>
  <c r="K20" i="85"/>
  <c r="L20" i="85"/>
  <c r="M20" i="85"/>
  <c r="N20" i="85"/>
  <c r="O20" i="85"/>
  <c r="D20" i="85"/>
  <c r="P14" i="85"/>
  <c r="N21" i="109" s="1"/>
  <c r="P15" i="85"/>
  <c r="N22" i="109" s="1"/>
  <c r="P16" i="85"/>
  <c r="P17" i="85"/>
  <c r="P18" i="85"/>
  <c r="N27" i="109" s="1"/>
  <c r="P19" i="85"/>
  <c r="N28" i="109" s="1"/>
  <c r="P13" i="85"/>
  <c r="B22" i="85"/>
  <c r="B27" i="85"/>
  <c r="D44" i="140" l="1"/>
  <c r="E44" i="140"/>
  <c r="F44" i="140"/>
  <c r="G44" i="140"/>
  <c r="H44" i="140"/>
  <c r="I44" i="140"/>
  <c r="J44" i="140"/>
  <c r="K44" i="140"/>
  <c r="L44" i="140"/>
  <c r="M44" i="140"/>
  <c r="N44" i="140"/>
  <c r="C44" i="140"/>
  <c r="C43" i="140"/>
  <c r="D43" i="140"/>
  <c r="E43" i="140"/>
  <c r="F43" i="140"/>
  <c r="G43" i="140"/>
  <c r="H43" i="140"/>
  <c r="D40" i="140"/>
  <c r="E40" i="140"/>
  <c r="F40" i="140"/>
  <c r="G40" i="140"/>
  <c r="H40" i="140"/>
  <c r="I40" i="140"/>
  <c r="J40" i="140"/>
  <c r="K40" i="140"/>
  <c r="L40" i="140"/>
  <c r="M40" i="140"/>
  <c r="N40" i="140"/>
  <c r="C40" i="140"/>
  <c r="C39" i="140"/>
  <c r="D39" i="140"/>
  <c r="E39" i="140"/>
  <c r="F39" i="140"/>
  <c r="G39" i="140"/>
  <c r="H39" i="140"/>
  <c r="O29" i="140"/>
  <c r="O13" i="140"/>
  <c r="O25" i="140"/>
  <c r="H31" i="140"/>
  <c r="I31" i="140"/>
  <c r="J31" i="140"/>
  <c r="K31" i="140"/>
  <c r="L31" i="140"/>
  <c r="M31" i="140"/>
  <c r="N31" i="140"/>
  <c r="G31" i="140"/>
  <c r="O31" i="140" l="1"/>
  <c r="N43" i="140"/>
  <c r="M43" i="140"/>
  <c r="L43" i="140"/>
  <c r="K43" i="140"/>
  <c r="J43" i="140"/>
  <c r="I43" i="140"/>
  <c r="O43" i="140" s="1"/>
  <c r="N39" i="140"/>
  <c r="M39" i="140"/>
  <c r="L39" i="140"/>
  <c r="K39" i="140"/>
  <c r="J39" i="140"/>
  <c r="I39" i="140"/>
  <c r="N27" i="140"/>
  <c r="N33" i="140" s="1"/>
  <c r="M27" i="140"/>
  <c r="M33" i="140" s="1"/>
  <c r="L27" i="140"/>
  <c r="L33" i="140" s="1"/>
  <c r="K27" i="140"/>
  <c r="K33" i="140" s="1"/>
  <c r="J27" i="140"/>
  <c r="J33" i="140" s="1"/>
  <c r="I27" i="140"/>
  <c r="I33" i="140" s="1"/>
  <c r="H27" i="140"/>
  <c r="H33" i="140" s="1"/>
  <c r="G27" i="140"/>
  <c r="G33" i="140" s="1"/>
  <c r="F27" i="140"/>
  <c r="F33" i="140" s="1"/>
  <c r="E27" i="140"/>
  <c r="E33" i="140" s="1"/>
  <c r="D27" i="140"/>
  <c r="D33" i="140" s="1"/>
  <c r="C27" i="140"/>
  <c r="C33" i="140" s="1"/>
  <c r="N23" i="140"/>
  <c r="M23" i="140"/>
  <c r="L23" i="140"/>
  <c r="K23" i="140"/>
  <c r="J23" i="140"/>
  <c r="I23" i="140"/>
  <c r="H23" i="140"/>
  <c r="G23" i="140"/>
  <c r="F23" i="140"/>
  <c r="E23" i="140"/>
  <c r="D23" i="140"/>
  <c r="C23" i="140"/>
  <c r="N15" i="140"/>
  <c r="M15" i="140"/>
  <c r="L15" i="140"/>
  <c r="K15" i="140"/>
  <c r="J15" i="140"/>
  <c r="I15" i="140"/>
  <c r="H15" i="140"/>
  <c r="G15" i="140"/>
  <c r="F15" i="140"/>
  <c r="E15" i="140"/>
  <c r="D15" i="140"/>
  <c r="C15" i="140"/>
  <c r="N11" i="140"/>
  <c r="N17" i="140" s="1"/>
  <c r="M11" i="140"/>
  <c r="M17" i="140" s="1"/>
  <c r="L11" i="140"/>
  <c r="L17" i="140" s="1"/>
  <c r="K11" i="140"/>
  <c r="K17" i="140" s="1"/>
  <c r="J11" i="140"/>
  <c r="J17" i="140" s="1"/>
  <c r="I11" i="140"/>
  <c r="I17" i="140" s="1"/>
  <c r="H11" i="140"/>
  <c r="H17" i="140" s="1"/>
  <c r="G11" i="140"/>
  <c r="G17" i="140" s="1"/>
  <c r="F11" i="140"/>
  <c r="F17" i="140" s="1"/>
  <c r="E11" i="140"/>
  <c r="E17" i="140" s="1"/>
  <c r="D11" i="140"/>
  <c r="D17" i="140" s="1"/>
  <c r="C11" i="140"/>
  <c r="C17" i="140" s="1"/>
  <c r="A10" i="140"/>
  <c r="A11" i="140" s="1"/>
  <c r="A12" i="140" s="1"/>
  <c r="A13" i="140" s="1"/>
  <c r="A14" i="140" s="1"/>
  <c r="A15" i="140" s="1"/>
  <c r="A16" i="140" s="1"/>
  <c r="A17" i="140" s="1"/>
  <c r="A18" i="140" s="1"/>
  <c r="A19" i="140" s="1"/>
  <c r="A20" i="140" s="1"/>
  <c r="A21" i="140" s="1"/>
  <c r="A22" i="140" s="1"/>
  <c r="A23" i="140" s="1"/>
  <c r="A24" i="140" s="1"/>
  <c r="A25" i="140" s="1"/>
  <c r="A26" i="140" s="1"/>
  <c r="A27" i="140" s="1"/>
  <c r="A28" i="140" s="1"/>
  <c r="A29" i="140" s="1"/>
  <c r="A30" i="140" s="1"/>
  <c r="A31" i="140" s="1"/>
  <c r="A32" i="140" s="1"/>
  <c r="A33" i="140" s="1"/>
  <c r="A34" i="140" s="1"/>
  <c r="A35" i="140" s="1"/>
  <c r="A36" i="140" s="1"/>
  <c r="A37" i="140" s="1"/>
  <c r="A38" i="140" s="1"/>
  <c r="A39" i="140" s="1"/>
  <c r="A40" i="140" s="1"/>
  <c r="A41" i="140" s="1"/>
  <c r="A42" i="140" s="1"/>
  <c r="A43" i="140" s="1"/>
  <c r="A44" i="140" s="1"/>
  <c r="A45" i="140" s="1"/>
  <c r="A46" i="140" s="1"/>
  <c r="A47" i="140" s="1"/>
  <c r="D7" i="140"/>
  <c r="E7" i="140" s="1"/>
  <c r="F7" i="140" s="1"/>
  <c r="G7" i="140" s="1"/>
  <c r="H7" i="140" s="1"/>
  <c r="I7" i="140" s="1"/>
  <c r="J7" i="140" s="1"/>
  <c r="K7" i="140" s="1"/>
  <c r="L7" i="140" s="1"/>
  <c r="M7" i="140" s="1"/>
  <c r="N7" i="140" s="1"/>
  <c r="O15" i="140" l="1"/>
  <c r="G45" i="140"/>
  <c r="K45" i="140"/>
  <c r="D45" i="140"/>
  <c r="H45" i="140"/>
  <c r="L45" i="140"/>
  <c r="E45" i="140"/>
  <c r="I45" i="140"/>
  <c r="M45" i="140"/>
  <c r="F45" i="140"/>
  <c r="J45" i="140"/>
  <c r="N45" i="140"/>
  <c r="K41" i="140"/>
  <c r="K35" i="140"/>
  <c r="D41" i="140"/>
  <c r="D35" i="140"/>
  <c r="H41" i="140"/>
  <c r="H47" i="140" s="1"/>
  <c r="H35" i="140"/>
  <c r="L35" i="140"/>
  <c r="L41" i="140"/>
  <c r="L47" i="140" s="1"/>
  <c r="G41" i="140"/>
  <c r="G47" i="140" s="1"/>
  <c r="G35" i="140"/>
  <c r="E41" i="140"/>
  <c r="E47" i="140" s="1"/>
  <c r="E35" i="140"/>
  <c r="I41" i="140"/>
  <c r="I35" i="140"/>
  <c r="M41" i="140"/>
  <c r="M35" i="140"/>
  <c r="F41" i="140"/>
  <c r="F47" i="140" s="1"/>
  <c r="F35" i="140"/>
  <c r="J41" i="140"/>
  <c r="J35" i="140"/>
  <c r="N41" i="140"/>
  <c r="N35" i="140"/>
  <c r="C45" i="140"/>
  <c r="O33" i="140"/>
  <c r="C41" i="140"/>
  <c r="C35" i="140"/>
  <c r="O27" i="140"/>
  <c r="O17" i="140"/>
  <c r="O23" i="140"/>
  <c r="O11" i="140"/>
  <c r="D44" i="139"/>
  <c r="E44" i="139"/>
  <c r="F44" i="139"/>
  <c r="G44" i="139"/>
  <c r="H44" i="139"/>
  <c r="I44" i="139"/>
  <c r="J44" i="139"/>
  <c r="K44" i="139"/>
  <c r="L44" i="139"/>
  <c r="M44" i="139"/>
  <c r="N44" i="139"/>
  <c r="C44" i="139"/>
  <c r="D40" i="139"/>
  <c r="E40" i="139"/>
  <c r="F40" i="139"/>
  <c r="G40" i="139"/>
  <c r="H40" i="139"/>
  <c r="I40" i="139"/>
  <c r="J40" i="139"/>
  <c r="K40" i="139"/>
  <c r="L40" i="139"/>
  <c r="M40" i="139"/>
  <c r="N40" i="139"/>
  <c r="C40" i="139"/>
  <c r="D43" i="139"/>
  <c r="E43" i="139"/>
  <c r="F43" i="139"/>
  <c r="G43" i="139"/>
  <c r="H43" i="139"/>
  <c r="I43" i="139"/>
  <c r="J43" i="139"/>
  <c r="K43" i="139"/>
  <c r="L43" i="139"/>
  <c r="M43" i="139"/>
  <c r="N43" i="139"/>
  <c r="C43" i="139"/>
  <c r="O29" i="139"/>
  <c r="O25" i="139"/>
  <c r="O13" i="139"/>
  <c r="D39" i="139"/>
  <c r="E39" i="139"/>
  <c r="F39" i="139"/>
  <c r="G39" i="139"/>
  <c r="H39" i="139"/>
  <c r="O31" i="139"/>
  <c r="M47" i="140" l="1"/>
  <c r="K47" i="140"/>
  <c r="O45" i="140"/>
  <c r="O41" i="140"/>
  <c r="J47" i="140"/>
  <c r="N47" i="140"/>
  <c r="D47" i="140"/>
  <c r="I47" i="140"/>
  <c r="O35" i="140"/>
  <c r="C47" i="140"/>
  <c r="O43" i="139"/>
  <c r="O47" i="140" l="1"/>
  <c r="N39" i="139"/>
  <c r="M39" i="139"/>
  <c r="L39" i="139"/>
  <c r="K39" i="139"/>
  <c r="J39" i="139"/>
  <c r="I39" i="139"/>
  <c r="N27" i="139"/>
  <c r="N33" i="139" s="1"/>
  <c r="M27" i="139"/>
  <c r="M33" i="139" s="1"/>
  <c r="L27" i="139"/>
  <c r="L33" i="139" s="1"/>
  <c r="K27" i="139"/>
  <c r="K33" i="139" s="1"/>
  <c r="J27" i="139"/>
  <c r="J33" i="139" s="1"/>
  <c r="I27" i="139"/>
  <c r="I33" i="139" s="1"/>
  <c r="H27" i="139"/>
  <c r="H33" i="139" s="1"/>
  <c r="G27" i="139"/>
  <c r="G33" i="139" s="1"/>
  <c r="F27" i="139"/>
  <c r="F33" i="139" s="1"/>
  <c r="E27" i="139"/>
  <c r="E33" i="139" s="1"/>
  <c r="D27" i="139"/>
  <c r="D33" i="139" s="1"/>
  <c r="C27" i="139"/>
  <c r="C33" i="139" s="1"/>
  <c r="N23" i="139"/>
  <c r="M23" i="139"/>
  <c r="L23" i="139"/>
  <c r="K23" i="139"/>
  <c r="J23" i="139"/>
  <c r="I23" i="139"/>
  <c r="H23" i="139"/>
  <c r="G23" i="139"/>
  <c r="F23" i="139"/>
  <c r="E23" i="139"/>
  <c r="D23" i="139"/>
  <c r="C23" i="139"/>
  <c r="C35" i="139" s="1"/>
  <c r="N15" i="139"/>
  <c r="M15" i="139"/>
  <c r="L15" i="139"/>
  <c r="K15" i="139"/>
  <c r="J15" i="139"/>
  <c r="I15" i="139"/>
  <c r="H15" i="139"/>
  <c r="G15" i="139"/>
  <c r="F15" i="139"/>
  <c r="E15" i="139"/>
  <c r="D15" i="139"/>
  <c r="C15" i="139"/>
  <c r="N11" i="139"/>
  <c r="N17" i="139" s="1"/>
  <c r="M11" i="139"/>
  <c r="M17" i="139" s="1"/>
  <c r="L11" i="139"/>
  <c r="L17" i="139" s="1"/>
  <c r="K11" i="139"/>
  <c r="K17" i="139" s="1"/>
  <c r="J11" i="139"/>
  <c r="J17" i="139" s="1"/>
  <c r="I11" i="139"/>
  <c r="I17" i="139" s="1"/>
  <c r="H11" i="139"/>
  <c r="G11" i="139"/>
  <c r="G17" i="139" s="1"/>
  <c r="F11" i="139"/>
  <c r="F17" i="139" s="1"/>
  <c r="E11" i="139"/>
  <c r="D11" i="139"/>
  <c r="D17" i="139" s="1"/>
  <c r="C11" i="139"/>
  <c r="C17" i="139" s="1"/>
  <c r="A10" i="139"/>
  <c r="A11" i="139" s="1"/>
  <c r="A12" i="139" s="1"/>
  <c r="A13" i="139" s="1"/>
  <c r="A14" i="139" s="1"/>
  <c r="A15" i="139" s="1"/>
  <c r="A16" i="139" s="1"/>
  <c r="A17" i="139" s="1"/>
  <c r="A18" i="139" s="1"/>
  <c r="A19" i="139" s="1"/>
  <c r="A20" i="139" s="1"/>
  <c r="A21" i="139" s="1"/>
  <c r="A22" i="139" s="1"/>
  <c r="A23" i="139" s="1"/>
  <c r="A24" i="139" s="1"/>
  <c r="A25" i="139" s="1"/>
  <c r="A26" i="139" s="1"/>
  <c r="A27" i="139" s="1"/>
  <c r="A28" i="139" s="1"/>
  <c r="A29" i="139" s="1"/>
  <c r="A30" i="139" s="1"/>
  <c r="A31" i="139" s="1"/>
  <c r="A32" i="139" s="1"/>
  <c r="A33" i="139" s="1"/>
  <c r="A34" i="139" s="1"/>
  <c r="A35" i="139" s="1"/>
  <c r="A36" i="139" s="1"/>
  <c r="A37" i="139" s="1"/>
  <c r="A38" i="139" s="1"/>
  <c r="A39" i="139" s="1"/>
  <c r="A40" i="139" s="1"/>
  <c r="A41" i="139" s="1"/>
  <c r="A42" i="139" s="1"/>
  <c r="A43" i="139" s="1"/>
  <c r="A44" i="139" s="1"/>
  <c r="A45" i="139" s="1"/>
  <c r="A46" i="139" s="1"/>
  <c r="A47" i="139" s="1"/>
  <c r="D7" i="139"/>
  <c r="E7" i="139" s="1"/>
  <c r="F7" i="139" s="1"/>
  <c r="G7" i="139" s="1"/>
  <c r="H7" i="139" s="1"/>
  <c r="I7" i="139" s="1"/>
  <c r="J7" i="139" s="1"/>
  <c r="K7" i="139" s="1"/>
  <c r="L7" i="139" s="1"/>
  <c r="M7" i="139" s="1"/>
  <c r="N7" i="139" s="1"/>
  <c r="E17" i="139" l="1"/>
  <c r="G45" i="139"/>
  <c r="K45" i="139"/>
  <c r="H17" i="139"/>
  <c r="O17" i="139" s="1"/>
  <c r="D45" i="139"/>
  <c r="H45" i="139"/>
  <c r="L45" i="139"/>
  <c r="E45" i="139"/>
  <c r="I45" i="139"/>
  <c r="M45" i="139"/>
  <c r="F45" i="139"/>
  <c r="J45" i="139"/>
  <c r="N45" i="139"/>
  <c r="O27" i="139"/>
  <c r="G41" i="139"/>
  <c r="G35" i="139"/>
  <c r="K41" i="139"/>
  <c r="K35" i="139"/>
  <c r="D41" i="139"/>
  <c r="D35" i="139"/>
  <c r="H41" i="139"/>
  <c r="H35" i="139"/>
  <c r="L41" i="139"/>
  <c r="L47" i="139" s="1"/>
  <c r="L35" i="139"/>
  <c r="E35" i="139"/>
  <c r="E41" i="139"/>
  <c r="I41" i="139"/>
  <c r="I35" i="139"/>
  <c r="M35" i="139"/>
  <c r="M41" i="139"/>
  <c r="F41" i="139"/>
  <c r="F35" i="139"/>
  <c r="J41" i="139"/>
  <c r="J35" i="139"/>
  <c r="N41" i="139"/>
  <c r="N35" i="139"/>
  <c r="C41" i="139"/>
  <c r="O15" i="139"/>
  <c r="O23" i="139"/>
  <c r="O11" i="139"/>
  <c r="F47" i="139" l="1"/>
  <c r="M47" i="139"/>
  <c r="E47" i="139"/>
  <c r="J47" i="139"/>
  <c r="K47" i="139"/>
  <c r="N47" i="139"/>
  <c r="I47" i="139"/>
  <c r="D47" i="139"/>
  <c r="G47" i="139"/>
  <c r="H47" i="139"/>
  <c r="C45" i="139"/>
  <c r="O45" i="139" s="1"/>
  <c r="O33" i="139"/>
  <c r="O35" i="139"/>
  <c r="O41" i="139"/>
  <c r="C47" i="139" l="1"/>
  <c r="O47" i="139" s="1"/>
  <c r="F66" i="110" l="1"/>
  <c r="F65" i="110"/>
  <c r="F63" i="110"/>
  <c r="F59" i="110"/>
  <c r="F58" i="110"/>
  <c r="F56" i="110"/>
  <c r="F55" i="110"/>
  <c r="F28" i="110"/>
  <c r="F27" i="110"/>
  <c r="F25" i="110"/>
  <c r="F24" i="110"/>
  <c r="F19" i="110"/>
  <c r="F20" i="110"/>
  <c r="F17" i="110"/>
  <c r="F14" i="110"/>
  <c r="F12" i="110"/>
  <c r="G41" i="127"/>
  <c r="E25" i="115" l="1"/>
  <c r="F25" i="115"/>
  <c r="G25" i="115"/>
  <c r="H25" i="115"/>
  <c r="I25" i="115"/>
  <c r="J25" i="115"/>
  <c r="K25" i="115"/>
  <c r="L25" i="115"/>
  <c r="M25" i="115"/>
  <c r="N25" i="115"/>
  <c r="O25" i="115"/>
  <c r="D25" i="115"/>
  <c r="E15" i="115" l="1"/>
  <c r="F15" i="115"/>
  <c r="G15" i="115"/>
  <c r="H15" i="115"/>
  <c r="I15" i="115"/>
  <c r="J15" i="115"/>
  <c r="K15" i="115"/>
  <c r="L15" i="115"/>
  <c r="M15" i="115"/>
  <c r="N15" i="115"/>
  <c r="O15" i="115"/>
  <c r="D15" i="115"/>
  <c r="E7" i="115"/>
  <c r="F7" i="115" s="1"/>
  <c r="G7" i="115" s="1"/>
  <c r="H7" i="115" s="1"/>
  <c r="I7" i="115" s="1"/>
  <c r="J7" i="115" s="1"/>
  <c r="K7" i="115" s="1"/>
  <c r="L7" i="115" s="1"/>
  <c r="M7" i="115" s="1"/>
  <c r="N7" i="115" s="1"/>
  <c r="O7" i="115" s="1"/>
  <c r="A40" i="85"/>
  <c r="G22" i="91" l="1"/>
  <c r="D23" i="91"/>
  <c r="D13" i="102"/>
  <c r="E23" i="91" l="1"/>
  <c r="D9" i="137"/>
  <c r="D11" i="137" s="1"/>
  <c r="C22" i="85"/>
  <c r="E9" i="137" s="1"/>
  <c r="E11" i="137" s="1"/>
  <c r="D18" i="137"/>
  <c r="D20" i="137" s="1"/>
  <c r="C23" i="85"/>
  <c r="E18" i="137" s="1"/>
  <c r="E20" i="137" s="1"/>
  <c r="P8" i="85" l="1"/>
  <c r="B37" i="85" l="1"/>
  <c r="C37" i="85"/>
  <c r="B38" i="85"/>
  <c r="C38" i="85"/>
  <c r="P28" i="85"/>
  <c r="C7" i="85" l="1"/>
  <c r="C27" i="85" s="1"/>
  <c r="D7" i="85" l="1"/>
  <c r="A9" i="137"/>
  <c r="A10" i="137" s="1"/>
  <c r="A11" i="137" s="1"/>
  <c r="A12" i="137" s="1"/>
  <c r="A13" i="137" s="1"/>
  <c r="A14" i="137" s="1"/>
  <c r="A15" i="137" s="1"/>
  <c r="A16" i="137" s="1"/>
  <c r="A17" i="137" s="1"/>
  <c r="A18" i="137" s="1"/>
  <c r="A19" i="137" s="1"/>
  <c r="A20" i="137" s="1"/>
  <c r="A21" i="137" s="1"/>
  <c r="A22" i="137" s="1"/>
  <c r="A23" i="137" s="1"/>
  <c r="A24" i="137" s="1"/>
  <c r="A25" i="137" s="1"/>
  <c r="A26" i="137" s="1"/>
  <c r="A4" i="137"/>
  <c r="A2" i="137"/>
  <c r="E7" i="137"/>
  <c r="D66" i="84" l="1"/>
  <c r="T28" i="84"/>
  <c r="I28" i="84"/>
  <c r="H28" i="84"/>
  <c r="G28" i="84"/>
  <c r="F28" i="84"/>
  <c r="E28" i="84"/>
  <c r="D28" i="84"/>
  <c r="D29" i="84" s="1"/>
  <c r="E24" i="84" s="1"/>
  <c r="AA28" i="84"/>
  <c r="Z28" i="84"/>
  <c r="Y28" i="84"/>
  <c r="X28" i="84"/>
  <c r="W28" i="84"/>
  <c r="V28" i="84"/>
  <c r="U28" i="84"/>
  <c r="S28" i="84"/>
  <c r="R28" i="84"/>
  <c r="Q28" i="84"/>
  <c r="P28" i="84"/>
  <c r="O28" i="84"/>
  <c r="N28" i="84"/>
  <c r="M28" i="84"/>
  <c r="L28" i="84"/>
  <c r="K28" i="84"/>
  <c r="J28" i="84"/>
  <c r="E29" i="84" l="1"/>
  <c r="F24" i="84" s="1"/>
  <c r="F29" i="84" s="1"/>
  <c r="G24" i="84" s="1"/>
  <c r="G29" i="84" s="1"/>
  <c r="H24" i="84" s="1"/>
  <c r="H29" i="84" s="1"/>
  <c r="I24" i="84" s="1"/>
  <c r="I29" i="84" s="1"/>
  <c r="J24" i="84" s="1"/>
  <c r="J29" i="84" s="1"/>
  <c r="K24" i="84" l="1"/>
  <c r="K29" i="84" l="1"/>
  <c r="L24" i="84" l="1"/>
  <c r="L29" i="84" l="1"/>
  <c r="M24" i="84" l="1"/>
  <c r="M29" i="84" l="1"/>
  <c r="N24" i="84" l="1"/>
  <c r="N29" i="84" l="1"/>
  <c r="O24" i="84" l="1"/>
  <c r="O29" i="84" l="1"/>
  <c r="P24" i="84" l="1"/>
  <c r="P29" i="84" l="1"/>
  <c r="Q24" i="84" l="1"/>
  <c r="Q29" i="84" l="1"/>
  <c r="R24" i="84" l="1"/>
  <c r="R29" i="84" l="1"/>
  <c r="S24" i="84" l="1"/>
  <c r="S29" i="84" l="1"/>
  <c r="T24" i="84" l="1"/>
  <c r="T29" i="84" l="1"/>
  <c r="U24" i="84" s="1"/>
  <c r="U29" i="84" s="1"/>
  <c r="V24" i="84" s="1"/>
  <c r="V29" i="84" s="1"/>
  <c r="W24" i="84" s="1"/>
  <c r="W29" i="84" s="1"/>
  <c r="X24" i="84" s="1"/>
  <c r="X29" i="84" s="1"/>
  <c r="Y24" i="84" s="1"/>
  <c r="Y29" i="84" s="1"/>
  <c r="Z24" i="84" s="1"/>
  <c r="Z29" i="84" s="1"/>
  <c r="AA24" i="84" s="1"/>
  <c r="AA29" i="84" s="1"/>
  <c r="AB24" i="84" s="1"/>
  <c r="AB29" i="84" s="1"/>
  <c r="AC24" i="84" l="1"/>
  <c r="AC29" i="84" s="1"/>
  <c r="AD24" i="84" s="1"/>
  <c r="AD29" i="84" s="1"/>
  <c r="AE24" i="84" s="1"/>
  <c r="AE29" i="84" s="1"/>
  <c r="AF24" i="84" s="1"/>
  <c r="AF29" i="84" s="1"/>
  <c r="AG24" i="84" s="1"/>
  <c r="AG29" i="84" s="1"/>
  <c r="AH24" i="84" s="1"/>
  <c r="AH29" i="84" s="1"/>
  <c r="AI24" i="84" s="1"/>
  <c r="AI29" i="84" s="1"/>
  <c r="AJ24" i="84" s="1"/>
  <c r="AJ29" i="84" s="1"/>
  <c r="AK24" i="84" s="1"/>
  <c r="AK29" i="84" s="1"/>
  <c r="AL24" i="84" s="1"/>
  <c r="AL29" i="84" s="1"/>
  <c r="AM24" i="84" s="1"/>
  <c r="AM29" i="84" s="1"/>
  <c r="AN24" i="84" s="1"/>
  <c r="AN29" i="84" s="1"/>
  <c r="AO24" i="84" s="1"/>
  <c r="AO29" i="84" s="1"/>
  <c r="AP24" i="84" s="1"/>
  <c r="AP29" i="84" s="1"/>
  <c r="AQ24" i="84" s="1"/>
  <c r="AQ29" i="84" s="1"/>
  <c r="Q45" i="84"/>
  <c r="P45" i="84"/>
  <c r="N39" i="136" l="1"/>
  <c r="AM19" i="84" s="1"/>
  <c r="AM20" i="84" s="1"/>
  <c r="M39" i="136"/>
  <c r="AL19" i="84" s="1"/>
  <c r="AL20" i="84" s="1"/>
  <c r="L39" i="136"/>
  <c r="AK19" i="84" s="1"/>
  <c r="AK20" i="84" s="1"/>
  <c r="K39" i="136"/>
  <c r="AJ19" i="84" s="1"/>
  <c r="AJ20" i="84" s="1"/>
  <c r="J39" i="136"/>
  <c r="AI19" i="84" s="1"/>
  <c r="AI20" i="84" s="1"/>
  <c r="I39" i="136"/>
  <c r="AH19" i="84" s="1"/>
  <c r="AH20" i="84" s="1"/>
  <c r="H39" i="136"/>
  <c r="AG19" i="84" s="1"/>
  <c r="AG20" i="84" s="1"/>
  <c r="G39" i="136"/>
  <c r="O29" i="136"/>
  <c r="N19" i="136"/>
  <c r="M19" i="136"/>
  <c r="L19" i="136"/>
  <c r="K19" i="136"/>
  <c r="J19" i="136"/>
  <c r="I19" i="136"/>
  <c r="H19" i="136"/>
  <c r="G19" i="136"/>
  <c r="A10" i="136"/>
  <c r="A11" i="136" s="1"/>
  <c r="A12" i="136" s="1"/>
  <c r="A13" i="136" s="1"/>
  <c r="A14" i="136" s="1"/>
  <c r="A15" i="136" s="1"/>
  <c r="A16" i="136" s="1"/>
  <c r="A17" i="136" s="1"/>
  <c r="A18" i="136" s="1"/>
  <c r="A19" i="136" s="1"/>
  <c r="A20" i="136" s="1"/>
  <c r="A21" i="136" s="1"/>
  <c r="A22" i="136" s="1"/>
  <c r="A23" i="136" s="1"/>
  <c r="A24" i="136" s="1"/>
  <c r="A25" i="136" s="1"/>
  <c r="A26" i="136" s="1"/>
  <c r="A27" i="136" s="1"/>
  <c r="A28" i="136" s="1"/>
  <c r="A29" i="136" s="1"/>
  <c r="A30" i="136" s="1"/>
  <c r="A31" i="136" s="1"/>
  <c r="A32" i="136" s="1"/>
  <c r="A33" i="136" s="1"/>
  <c r="A34" i="136" s="1"/>
  <c r="A35" i="136" s="1"/>
  <c r="A36" i="136" s="1"/>
  <c r="A37" i="136" s="1"/>
  <c r="A38" i="136" s="1"/>
  <c r="A39" i="136" s="1"/>
  <c r="A40" i="136" s="1"/>
  <c r="A41" i="136" s="1"/>
  <c r="A42" i="136" s="1"/>
  <c r="A43" i="136" s="1"/>
  <c r="A44" i="136" s="1"/>
  <c r="A45" i="136" s="1"/>
  <c r="A46" i="136" s="1"/>
  <c r="A47" i="136" s="1"/>
  <c r="A48" i="136" s="1"/>
  <c r="A49" i="136" s="1"/>
  <c r="A50" i="136" s="1"/>
  <c r="A51" i="136" s="1"/>
  <c r="A52" i="136" s="1"/>
  <c r="A53" i="136" s="1"/>
  <c r="I15" i="136"/>
  <c r="I21" i="136" s="1"/>
  <c r="H15" i="136"/>
  <c r="G15" i="136"/>
  <c r="G21" i="136" s="1"/>
  <c r="F15" i="136"/>
  <c r="F21" i="136" s="1"/>
  <c r="E15" i="136"/>
  <c r="E21" i="136" s="1"/>
  <c r="D15" i="136"/>
  <c r="D21" i="136" s="1"/>
  <c r="C15" i="136"/>
  <c r="C21" i="136" s="1"/>
  <c r="N11" i="136"/>
  <c r="M11" i="136"/>
  <c r="L11" i="136"/>
  <c r="K11" i="136"/>
  <c r="J11" i="136"/>
  <c r="I11" i="136"/>
  <c r="H11" i="136"/>
  <c r="G11" i="136"/>
  <c r="F11" i="136"/>
  <c r="E11" i="136"/>
  <c r="D11" i="136"/>
  <c r="C11" i="136"/>
  <c r="D7" i="136"/>
  <c r="E7" i="136" s="1"/>
  <c r="F7" i="136" s="1"/>
  <c r="G7" i="136" s="1"/>
  <c r="H7" i="136" s="1"/>
  <c r="I7" i="136" s="1"/>
  <c r="J7" i="136" s="1"/>
  <c r="K7" i="136" s="1"/>
  <c r="L7" i="136" s="1"/>
  <c r="M7" i="136" s="1"/>
  <c r="N7" i="136" s="1"/>
  <c r="A10" i="135"/>
  <c r="A11" i="135" s="1"/>
  <c r="A12" i="135" s="1"/>
  <c r="A13" i="135" s="1"/>
  <c r="A14" i="135" s="1"/>
  <c r="A15" i="135" s="1"/>
  <c r="A16" i="135" s="1"/>
  <c r="A17" i="135" s="1"/>
  <c r="A18" i="135" s="1"/>
  <c r="A19" i="135" s="1"/>
  <c r="A20" i="135" s="1"/>
  <c r="A21" i="135" s="1"/>
  <c r="A22" i="135" s="1"/>
  <c r="A23" i="135" s="1"/>
  <c r="A24" i="135" s="1"/>
  <c r="A25" i="135" s="1"/>
  <c r="A26" i="135" s="1"/>
  <c r="A27" i="135" s="1"/>
  <c r="A28" i="135" s="1"/>
  <c r="A29" i="135" s="1"/>
  <c r="A30" i="135" s="1"/>
  <c r="A31" i="135" s="1"/>
  <c r="A32" i="135" s="1"/>
  <c r="A33" i="135" s="1"/>
  <c r="A34" i="135" s="1"/>
  <c r="A35" i="135" s="1"/>
  <c r="A36" i="135" s="1"/>
  <c r="A37" i="135" s="1"/>
  <c r="A38" i="135" s="1"/>
  <c r="A39" i="135" s="1"/>
  <c r="A40" i="135" s="1"/>
  <c r="A41" i="135" s="1"/>
  <c r="A42" i="135" s="1"/>
  <c r="A43" i="135" s="1"/>
  <c r="A44" i="135" s="1"/>
  <c r="A45" i="135" s="1"/>
  <c r="A46" i="135" s="1"/>
  <c r="A47" i="135" s="1"/>
  <c r="A48" i="135" s="1"/>
  <c r="A49" i="135" s="1"/>
  <c r="A50" i="135" s="1"/>
  <c r="A51" i="135" s="1"/>
  <c r="A52" i="135" s="1"/>
  <c r="A53" i="135" s="1"/>
  <c r="A54" i="135" s="1"/>
  <c r="A55" i="135" s="1"/>
  <c r="G41" i="135"/>
  <c r="AF12" i="84" s="1"/>
  <c r="AF13" i="84" s="1"/>
  <c r="H41" i="135"/>
  <c r="AG12" i="84" s="1"/>
  <c r="AG13" i="84" s="1"/>
  <c r="I41" i="135"/>
  <c r="AH12" i="84" s="1"/>
  <c r="AH13" i="84" s="1"/>
  <c r="N19" i="135"/>
  <c r="M19" i="135"/>
  <c r="L19" i="135"/>
  <c r="K19" i="135"/>
  <c r="J19" i="135"/>
  <c r="I19" i="135"/>
  <c r="H19" i="135"/>
  <c r="G19" i="135"/>
  <c r="G23" i="136" l="1"/>
  <c r="G27" i="136" s="1"/>
  <c r="AF44" i="84" s="1"/>
  <c r="AF45" i="84" s="1"/>
  <c r="AF19" i="84"/>
  <c r="AF20" i="84" s="1"/>
  <c r="O39" i="136"/>
  <c r="O19" i="136"/>
  <c r="H21" i="136"/>
  <c r="C23" i="136"/>
  <c r="C27" i="136" s="1"/>
  <c r="D23" i="136"/>
  <c r="D27" i="136" s="1"/>
  <c r="AC44" i="84" s="1"/>
  <c r="AC45" i="84" s="1"/>
  <c r="H23" i="136"/>
  <c r="H27" i="136" s="1"/>
  <c r="AG44" i="84" s="1"/>
  <c r="AG45" i="84" s="1"/>
  <c r="E23" i="136"/>
  <c r="E27" i="136" s="1"/>
  <c r="AD44" i="84" s="1"/>
  <c r="AD45" i="84" s="1"/>
  <c r="F23" i="136"/>
  <c r="F27" i="136" s="1"/>
  <c r="AE44" i="84" s="1"/>
  <c r="AE45" i="84" s="1"/>
  <c r="I23" i="136"/>
  <c r="I27" i="136" s="1"/>
  <c r="AH44" i="84" s="1"/>
  <c r="AH45" i="84" s="1"/>
  <c r="O11" i="136"/>
  <c r="O47" i="136"/>
  <c r="E12" i="63" s="1"/>
  <c r="K15" i="136"/>
  <c r="O35" i="136"/>
  <c r="J15" i="136"/>
  <c r="O19" i="135"/>
  <c r="C41" i="136" l="1"/>
  <c r="C31" i="136"/>
  <c r="AB44" i="84"/>
  <c r="AB45" i="84" s="1"/>
  <c r="J21" i="136"/>
  <c r="K21" i="136"/>
  <c r="K23" i="136" s="1"/>
  <c r="K27" i="136" s="1"/>
  <c r="AJ44" i="84" s="1"/>
  <c r="AJ45" i="84" s="1"/>
  <c r="L15" i="136"/>
  <c r="L21" i="136" s="1"/>
  <c r="L23" i="136" s="1"/>
  <c r="J23" i="136" l="1"/>
  <c r="J27" i="136" s="1"/>
  <c r="AI44" i="84" s="1"/>
  <c r="AI45" i="84" s="1"/>
  <c r="N15" i="136"/>
  <c r="M15" i="136"/>
  <c r="N21" i="136" l="1"/>
  <c r="N23" i="136" s="1"/>
  <c r="N27" i="136" s="1"/>
  <c r="AM44" i="84" s="1"/>
  <c r="AM45" i="84" s="1"/>
  <c r="M21" i="136"/>
  <c r="O15" i="136"/>
  <c r="L27" i="136"/>
  <c r="AK44" i="84" s="1"/>
  <c r="AK45" i="84" s="1"/>
  <c r="M23" i="136" l="1"/>
  <c r="O21" i="136"/>
  <c r="O49" i="135"/>
  <c r="D12" i="63" s="1"/>
  <c r="M41" i="135"/>
  <c r="AL12" i="84" s="1"/>
  <c r="AL13" i="84" s="1"/>
  <c r="L41" i="135"/>
  <c r="AK12" i="84" s="1"/>
  <c r="AK13" i="84" s="1"/>
  <c r="N41" i="135"/>
  <c r="AM12" i="84" s="1"/>
  <c r="AM13" i="84" s="1"/>
  <c r="K41" i="135"/>
  <c r="AJ12" i="84" s="1"/>
  <c r="AJ13" i="84" s="1"/>
  <c r="O29" i="135"/>
  <c r="I15" i="135"/>
  <c r="I21" i="135" s="1"/>
  <c r="H15" i="135"/>
  <c r="H21" i="135" s="1"/>
  <c r="G15" i="135"/>
  <c r="G21" i="135" s="1"/>
  <c r="F15" i="135"/>
  <c r="F21" i="135" s="1"/>
  <c r="E15" i="135"/>
  <c r="E21" i="135" s="1"/>
  <c r="D15" i="135"/>
  <c r="D21" i="135" s="1"/>
  <c r="C15" i="135"/>
  <c r="C21" i="135" s="1"/>
  <c r="J15" i="135"/>
  <c r="J21" i="135" s="1"/>
  <c r="N11" i="135"/>
  <c r="M11" i="135"/>
  <c r="L11" i="135"/>
  <c r="K11" i="135"/>
  <c r="J11" i="135"/>
  <c r="I11" i="135"/>
  <c r="H11" i="135"/>
  <c r="G11" i="135"/>
  <c r="F11" i="135"/>
  <c r="E11" i="135"/>
  <c r="D11" i="135"/>
  <c r="D23" i="135" s="1"/>
  <c r="D27" i="135" s="1"/>
  <c r="AC35" i="84" s="1"/>
  <c r="AC36" i="84" s="1"/>
  <c r="AC67" i="84" s="1"/>
  <c r="C11" i="135"/>
  <c r="C23" i="135" s="1"/>
  <c r="C27" i="135" s="1"/>
  <c r="D7" i="135"/>
  <c r="E7" i="135" s="1"/>
  <c r="F7" i="135" s="1"/>
  <c r="G7" i="135" s="1"/>
  <c r="H7" i="135" s="1"/>
  <c r="I7" i="135" s="1"/>
  <c r="J7" i="135" s="1"/>
  <c r="K7" i="135" s="1"/>
  <c r="L7" i="135" s="1"/>
  <c r="M7" i="135" s="1"/>
  <c r="N7" i="135" s="1"/>
  <c r="P13" i="84"/>
  <c r="Q13" i="84"/>
  <c r="R13" i="84"/>
  <c r="S13" i="84"/>
  <c r="P20" i="84"/>
  <c r="Q20" i="84"/>
  <c r="R20" i="84"/>
  <c r="S20" i="84"/>
  <c r="R45" i="84"/>
  <c r="S45" i="84"/>
  <c r="T45" i="84"/>
  <c r="U45" i="84"/>
  <c r="V45" i="84"/>
  <c r="W45" i="84"/>
  <c r="X45" i="84"/>
  <c r="Y45" i="84"/>
  <c r="Z45" i="84"/>
  <c r="AA45" i="84"/>
  <c r="P53" i="84"/>
  <c r="Q53" i="84"/>
  <c r="R53" i="84"/>
  <c r="S53" i="84"/>
  <c r="T53" i="84"/>
  <c r="U53" i="84"/>
  <c r="V53" i="84"/>
  <c r="W53" i="84"/>
  <c r="X53" i="84"/>
  <c r="Y53" i="84"/>
  <c r="Z53" i="84"/>
  <c r="AA53" i="84"/>
  <c r="P62" i="84"/>
  <c r="Q62" i="84"/>
  <c r="R62" i="84"/>
  <c r="S62" i="84"/>
  <c r="T62" i="84"/>
  <c r="U62" i="84"/>
  <c r="V62" i="84"/>
  <c r="W62" i="84"/>
  <c r="X62" i="84"/>
  <c r="Y62" i="84"/>
  <c r="Z62" i="84"/>
  <c r="AA62" i="84"/>
  <c r="C31" i="135" l="1"/>
  <c r="D31" i="135" s="1"/>
  <c r="C43" i="135"/>
  <c r="AB35" i="84"/>
  <c r="AB36" i="84" s="1"/>
  <c r="AB67" i="84" s="1"/>
  <c r="M27" i="136"/>
  <c r="O23" i="136"/>
  <c r="E23" i="135"/>
  <c r="E27" i="135" s="1"/>
  <c r="AD35" i="84" s="1"/>
  <c r="AD36" i="84" s="1"/>
  <c r="AD67" i="84" s="1"/>
  <c r="F23" i="135"/>
  <c r="F27" i="135" s="1"/>
  <c r="AE35" i="84" s="1"/>
  <c r="AE36" i="84" s="1"/>
  <c r="AE67" i="84" s="1"/>
  <c r="D43" i="135"/>
  <c r="E43" i="135" s="1"/>
  <c r="F43" i="135" s="1"/>
  <c r="P67" i="84"/>
  <c r="X67" i="84"/>
  <c r="S67" i="84"/>
  <c r="AA67" i="84"/>
  <c r="W67" i="84"/>
  <c r="T67" i="84"/>
  <c r="R67" i="84"/>
  <c r="Z67" i="84"/>
  <c r="V67" i="84"/>
  <c r="Q67" i="84"/>
  <c r="Y67" i="84"/>
  <c r="U67" i="84"/>
  <c r="G23" i="135"/>
  <c r="G27" i="135" s="1"/>
  <c r="AF35" i="84" s="1"/>
  <c r="AF36" i="84" s="1"/>
  <c r="AF67" i="84" s="1"/>
  <c r="H23" i="135"/>
  <c r="H27" i="135" s="1"/>
  <c r="AG35" i="84" s="1"/>
  <c r="AG36" i="84" s="1"/>
  <c r="AG67" i="84" s="1"/>
  <c r="I23" i="135"/>
  <c r="I27" i="135" s="1"/>
  <c r="AH35" i="84" s="1"/>
  <c r="AH36" i="84" s="1"/>
  <c r="AH67" i="84" s="1"/>
  <c r="J23" i="135"/>
  <c r="O37" i="135"/>
  <c r="J41" i="135"/>
  <c r="O11" i="135"/>
  <c r="J27" i="135"/>
  <c r="AI35" i="84" s="1"/>
  <c r="AI36" i="84" s="1"/>
  <c r="E38" i="85"/>
  <c r="F38" i="85"/>
  <c r="G38" i="85"/>
  <c r="H38" i="85"/>
  <c r="I38" i="85"/>
  <c r="J38" i="85"/>
  <c r="K38" i="85"/>
  <c r="L38" i="85"/>
  <c r="M38" i="85"/>
  <c r="N38" i="85"/>
  <c r="O38" i="85"/>
  <c r="D38" i="85"/>
  <c r="P29" i="85"/>
  <c r="P30" i="85"/>
  <c r="P31" i="85"/>
  <c r="P32" i="85"/>
  <c r="P33" i="85"/>
  <c r="P34" i="85"/>
  <c r="P35" i="85"/>
  <c r="E23" i="85"/>
  <c r="F23" i="85"/>
  <c r="G23" i="85"/>
  <c r="H23" i="85"/>
  <c r="I23" i="85"/>
  <c r="J23" i="85"/>
  <c r="K23" i="85"/>
  <c r="L23" i="85"/>
  <c r="M23" i="85"/>
  <c r="N23" i="85"/>
  <c r="O23" i="85"/>
  <c r="D23" i="85"/>
  <c r="P9" i="85"/>
  <c r="P10" i="85"/>
  <c r="N16" i="109" s="1"/>
  <c r="P11" i="85"/>
  <c r="N18" i="109" s="1"/>
  <c r="P12" i="85"/>
  <c r="N19" i="109" s="1"/>
  <c r="N12" i="109"/>
  <c r="N24" i="109"/>
  <c r="N25" i="109"/>
  <c r="O27" i="136" l="1"/>
  <c r="AL44" i="84"/>
  <c r="AL45" i="84" s="1"/>
  <c r="O41" i="135"/>
  <c r="AI12" i="84"/>
  <c r="AI13" i="84" s="1"/>
  <c r="AI67" i="84" s="1"/>
  <c r="E31" i="135"/>
  <c r="F31" i="135" s="1"/>
  <c r="G31" i="135" s="1"/>
  <c r="H31" i="135" s="1"/>
  <c r="I31" i="135" s="1"/>
  <c r="J31" i="135" s="1"/>
  <c r="G43" i="135"/>
  <c r="H43" i="135" s="1"/>
  <c r="I43" i="135" s="1"/>
  <c r="J43" i="135" s="1"/>
  <c r="N14" i="109"/>
  <c r="N29" i="109" s="1"/>
  <c r="P20" i="85"/>
  <c r="K15" i="135"/>
  <c r="K21" i="135" s="1"/>
  <c r="K23" i="135" l="1"/>
  <c r="L15" i="135"/>
  <c r="L21" i="135" l="1"/>
  <c r="K27" i="135"/>
  <c r="N15" i="135"/>
  <c r="M15" i="135"/>
  <c r="M21" i="135" s="1"/>
  <c r="M23" i="135" s="1"/>
  <c r="K43" i="135" l="1"/>
  <c r="AJ35" i="84"/>
  <c r="AJ36" i="84" s="1"/>
  <c r="AJ67" i="84" s="1"/>
  <c r="L23" i="135"/>
  <c r="L27" i="135" s="1"/>
  <c r="N21" i="135"/>
  <c r="N23" i="135" s="1"/>
  <c r="N27" i="135" s="1"/>
  <c r="AM35" i="84" s="1"/>
  <c r="AM36" i="84" s="1"/>
  <c r="AM67" i="84" s="1"/>
  <c r="O15" i="135"/>
  <c r="K31" i="135"/>
  <c r="L43" i="135" l="1"/>
  <c r="AK35" i="84"/>
  <c r="AK36" i="84" s="1"/>
  <c r="AK67" i="84" s="1"/>
  <c r="L31" i="135"/>
  <c r="O21" i="135"/>
  <c r="M27" i="135"/>
  <c r="AL35" i="84" s="1"/>
  <c r="AL36" i="84" s="1"/>
  <c r="AL67" i="84" s="1"/>
  <c r="O23" i="135"/>
  <c r="O27" i="135" l="1"/>
  <c r="M43" i="135"/>
  <c r="N43" i="135" s="1"/>
  <c r="M31" i="135"/>
  <c r="N31" i="135" s="1"/>
  <c r="D27" i="86" l="1"/>
  <c r="E27" i="86" s="1"/>
  <c r="G92" i="128" l="1"/>
  <c r="G79" i="128"/>
  <c r="G51" i="128"/>
  <c r="G41" i="128"/>
  <c r="I101" i="128"/>
  <c r="I89" i="128"/>
  <c r="I74" i="128"/>
  <c r="I67" i="128"/>
  <c r="I57" i="128"/>
  <c r="I48" i="128"/>
  <c r="I36" i="128"/>
  <c r="I28" i="128"/>
  <c r="B12" i="128"/>
  <c r="B13" i="128" s="1"/>
  <c r="B14" i="128" s="1"/>
  <c r="B15" i="128" s="1"/>
  <c r="B16" i="128" s="1"/>
  <c r="B17" i="128" s="1"/>
  <c r="B18" i="128" s="1"/>
  <c r="B19" i="128" s="1"/>
  <c r="B20" i="128" s="1"/>
  <c r="B21" i="128" s="1"/>
  <c r="B22" i="128" s="1"/>
  <c r="B23" i="128" s="1"/>
  <c r="B24" i="128" s="1"/>
  <c r="B25" i="128" s="1"/>
  <c r="B26" i="128" s="1"/>
  <c r="B27" i="128" s="1"/>
  <c r="B28" i="128" s="1"/>
  <c r="B29" i="128" s="1"/>
  <c r="B30" i="128" s="1"/>
  <c r="B31" i="128" s="1"/>
  <c r="B32" i="128" s="1"/>
  <c r="B33" i="128" s="1"/>
  <c r="B34" i="128" s="1"/>
  <c r="B35" i="128" s="1"/>
  <c r="B36" i="128" s="1"/>
  <c r="B37" i="128" s="1"/>
  <c r="B38" i="128" s="1"/>
  <c r="B39" i="128" s="1"/>
  <c r="B40" i="128" s="1"/>
  <c r="B41" i="128" s="1"/>
  <c r="B42" i="128" s="1"/>
  <c r="B43" i="128" s="1"/>
  <c r="B44" i="128" s="1"/>
  <c r="B45" i="128" s="1"/>
  <c r="B46" i="128" s="1"/>
  <c r="B47" i="128" s="1"/>
  <c r="B48" i="128" s="1"/>
  <c r="B49" i="128" s="1"/>
  <c r="B50" i="128" s="1"/>
  <c r="B51" i="128" s="1"/>
  <c r="B52" i="128" s="1"/>
  <c r="B53" i="128" s="1"/>
  <c r="B54" i="128" s="1"/>
  <c r="B55" i="128" s="1"/>
  <c r="B56" i="128" s="1"/>
  <c r="B57" i="128" s="1"/>
  <c r="B58" i="128" s="1"/>
  <c r="B59" i="128" s="1"/>
  <c r="B60" i="128" s="1"/>
  <c r="B61" i="128" s="1"/>
  <c r="B62" i="128" s="1"/>
  <c r="B63" i="128" s="1"/>
  <c r="B64" i="128" s="1"/>
  <c r="B65" i="128" s="1"/>
  <c r="B66" i="128" s="1"/>
  <c r="B67" i="128" s="1"/>
  <c r="B68" i="128" s="1"/>
  <c r="B69" i="128" s="1"/>
  <c r="B70" i="128" s="1"/>
  <c r="B71" i="128" s="1"/>
  <c r="B72" i="128" s="1"/>
  <c r="B73" i="128" s="1"/>
  <c r="B74" i="128" s="1"/>
  <c r="B75" i="128" s="1"/>
  <c r="B76" i="128" s="1"/>
  <c r="B77" i="128" s="1"/>
  <c r="B78" i="128" s="1"/>
  <c r="B79" i="128" s="1"/>
  <c r="B80" i="128" s="1"/>
  <c r="B81" i="128" s="1"/>
  <c r="B82" i="128" s="1"/>
  <c r="B83" i="128" s="1"/>
  <c r="B84" i="128" s="1"/>
  <c r="B85" i="128" s="1"/>
  <c r="B86" i="128" s="1"/>
  <c r="B87" i="128" s="1"/>
  <c r="B88" i="128" s="1"/>
  <c r="B89" i="128" s="1"/>
  <c r="B90" i="128" s="1"/>
  <c r="B91" i="128" s="1"/>
  <c r="B92" i="128" s="1"/>
  <c r="B93" i="128" s="1"/>
  <c r="B94" i="128" s="1"/>
  <c r="B95" i="128" s="1"/>
  <c r="B96" i="128" s="1"/>
  <c r="B97" i="128" s="1"/>
  <c r="B98" i="128" s="1"/>
  <c r="B99" i="128" s="1"/>
  <c r="B100" i="128" s="1"/>
  <c r="B101" i="128" s="1"/>
  <c r="B102" i="128" s="1"/>
  <c r="B103" i="128" s="1"/>
  <c r="B104" i="128" s="1"/>
  <c r="B105" i="128" s="1"/>
  <c r="B4" i="128"/>
  <c r="B2" i="128"/>
  <c r="I105" i="128" l="1"/>
  <c r="I38" i="128"/>
  <c r="I59" i="128"/>
  <c r="I76" i="128"/>
  <c r="I101" i="127" l="1"/>
  <c r="I89" i="127"/>
  <c r="I74" i="127"/>
  <c r="I67" i="127"/>
  <c r="B12" i="127"/>
  <c r="B13" i="127" s="1"/>
  <c r="B14" i="127" s="1"/>
  <c r="B15" i="127" s="1"/>
  <c r="B16" i="127" s="1"/>
  <c r="B17" i="127" s="1"/>
  <c r="B18" i="127" s="1"/>
  <c r="B19" i="127" s="1"/>
  <c r="B20" i="127" s="1"/>
  <c r="B21" i="127" s="1"/>
  <c r="B22" i="127" s="1"/>
  <c r="B23" i="127" s="1"/>
  <c r="B24" i="127" s="1"/>
  <c r="B25" i="127" s="1"/>
  <c r="B26" i="127" s="1"/>
  <c r="B27" i="127" s="1"/>
  <c r="B28" i="127" s="1"/>
  <c r="B29" i="127" s="1"/>
  <c r="B30" i="127" s="1"/>
  <c r="B31" i="127" s="1"/>
  <c r="B32" i="127" s="1"/>
  <c r="B33" i="127" s="1"/>
  <c r="B34" i="127" s="1"/>
  <c r="B35" i="127" s="1"/>
  <c r="B36" i="127" s="1"/>
  <c r="B37" i="127" s="1"/>
  <c r="B38" i="127" s="1"/>
  <c r="B39" i="127" s="1"/>
  <c r="B40" i="127" s="1"/>
  <c r="B41" i="127" s="1"/>
  <c r="B42" i="127" s="1"/>
  <c r="B43" i="127" s="1"/>
  <c r="B44" i="127" s="1"/>
  <c r="B45" i="127" s="1"/>
  <c r="B46" i="127" s="1"/>
  <c r="B47" i="127" s="1"/>
  <c r="B48" i="127" s="1"/>
  <c r="B49" i="127" s="1"/>
  <c r="B50" i="127" s="1"/>
  <c r="B51" i="127" s="1"/>
  <c r="B52" i="127" s="1"/>
  <c r="B53" i="127" s="1"/>
  <c r="B54" i="127" s="1"/>
  <c r="B55" i="127" s="1"/>
  <c r="B56" i="127" s="1"/>
  <c r="B57" i="127" s="1"/>
  <c r="B58" i="127" s="1"/>
  <c r="B59" i="127" s="1"/>
  <c r="B60" i="127" s="1"/>
  <c r="B61" i="127" s="1"/>
  <c r="B62" i="127" s="1"/>
  <c r="B63" i="127" s="1"/>
  <c r="B64" i="127" s="1"/>
  <c r="B65" i="127" s="1"/>
  <c r="B66" i="127" s="1"/>
  <c r="B67" i="127" s="1"/>
  <c r="B68" i="127" s="1"/>
  <c r="B69" i="127" s="1"/>
  <c r="B70" i="127" s="1"/>
  <c r="B71" i="127" s="1"/>
  <c r="B72" i="127" s="1"/>
  <c r="B73" i="127" s="1"/>
  <c r="B74" i="127" s="1"/>
  <c r="B75" i="127" s="1"/>
  <c r="B76" i="127" s="1"/>
  <c r="B77" i="127" s="1"/>
  <c r="B78" i="127" s="1"/>
  <c r="B79" i="127" s="1"/>
  <c r="B80" i="127" s="1"/>
  <c r="B81" i="127" s="1"/>
  <c r="B82" i="127" s="1"/>
  <c r="B83" i="127" s="1"/>
  <c r="B84" i="127" s="1"/>
  <c r="B85" i="127" s="1"/>
  <c r="B86" i="127" s="1"/>
  <c r="B87" i="127" s="1"/>
  <c r="B88" i="127" s="1"/>
  <c r="B89" i="127" s="1"/>
  <c r="B90" i="127" s="1"/>
  <c r="B91" i="127" s="1"/>
  <c r="B92" i="127" s="1"/>
  <c r="B93" i="127" s="1"/>
  <c r="B94" i="127" s="1"/>
  <c r="B95" i="127" s="1"/>
  <c r="B96" i="127" s="1"/>
  <c r="B97" i="127" s="1"/>
  <c r="B98" i="127" s="1"/>
  <c r="B99" i="127" s="1"/>
  <c r="B100" i="127" s="1"/>
  <c r="B101" i="127" s="1"/>
  <c r="B102" i="127" s="1"/>
  <c r="B103" i="127" s="1"/>
  <c r="B104" i="127" s="1"/>
  <c r="B105" i="127" s="1"/>
  <c r="B4" i="127"/>
  <c r="B2" i="127"/>
  <c r="I76" i="127" l="1"/>
  <c r="I28" i="127"/>
  <c r="I57" i="127"/>
  <c r="I36" i="127"/>
  <c r="I48" i="127"/>
  <c r="I105" i="127" l="1"/>
  <c r="I59" i="127"/>
  <c r="I38" i="127"/>
  <c r="G96" i="127" l="1"/>
  <c r="H96" i="127" s="1"/>
  <c r="K96" i="127" s="1"/>
  <c r="G97" i="127"/>
  <c r="H97" i="127" s="1"/>
  <c r="K97" i="127" s="1"/>
  <c r="G98" i="127"/>
  <c r="H98" i="127" s="1"/>
  <c r="K98" i="127" s="1"/>
  <c r="G99" i="127"/>
  <c r="H99" i="127" s="1"/>
  <c r="K99" i="127" s="1"/>
  <c r="G100" i="127"/>
  <c r="H100" i="127" s="1"/>
  <c r="K100" i="127" s="1"/>
  <c r="G95" i="127"/>
  <c r="H95" i="127" s="1"/>
  <c r="K95" i="127" s="1"/>
  <c r="G92" i="127"/>
  <c r="H93" i="127"/>
  <c r="K93" i="127" s="1"/>
  <c r="G84" i="127"/>
  <c r="H84" i="127" s="1"/>
  <c r="K84" i="127" s="1"/>
  <c r="G85" i="127"/>
  <c r="H85" i="127" s="1"/>
  <c r="K85" i="127" s="1"/>
  <c r="G86" i="127"/>
  <c r="H86" i="127" s="1"/>
  <c r="K86" i="127" s="1"/>
  <c r="G87" i="127"/>
  <c r="H87" i="127" s="1"/>
  <c r="K87" i="127" s="1"/>
  <c r="G88" i="127"/>
  <c r="H88" i="127" s="1"/>
  <c r="K88" i="127" s="1"/>
  <c r="G83" i="127"/>
  <c r="H83" i="127" s="1"/>
  <c r="K83" i="127" s="1"/>
  <c r="H80" i="127"/>
  <c r="K80" i="127" s="1"/>
  <c r="G81" i="127"/>
  <c r="H81" i="127" s="1"/>
  <c r="K81" i="127" s="1"/>
  <c r="G79" i="127"/>
  <c r="G55" i="127"/>
  <c r="H55" i="127" s="1"/>
  <c r="K55" i="127" s="1"/>
  <c r="G56" i="127"/>
  <c r="H56" i="127" s="1"/>
  <c r="K56" i="127" s="1"/>
  <c r="G54" i="127"/>
  <c r="H54" i="127" s="1"/>
  <c r="K54" i="127" s="1"/>
  <c r="G51" i="127"/>
  <c r="H52" i="127"/>
  <c r="K52" i="127" s="1"/>
  <c r="G46" i="127"/>
  <c r="H46" i="127" s="1"/>
  <c r="K46" i="127" s="1"/>
  <c r="G47" i="127"/>
  <c r="H47" i="127" s="1"/>
  <c r="K47" i="127" s="1"/>
  <c r="G45" i="127"/>
  <c r="H45" i="127" s="1"/>
  <c r="K45" i="127" s="1"/>
  <c r="H42" i="127"/>
  <c r="K42" i="127" s="1"/>
  <c r="G43" i="127"/>
  <c r="H43" i="127" s="1"/>
  <c r="K43" i="127" s="1"/>
  <c r="A11" i="125"/>
  <c r="A12" i="125" s="1"/>
  <c r="A13" i="125" s="1"/>
  <c r="A14" i="125" s="1"/>
  <c r="A15" i="125" s="1"/>
  <c r="A16" i="125" s="1"/>
  <c r="A17" i="125" s="1"/>
  <c r="A18" i="125" s="1"/>
  <c r="A19" i="125" s="1"/>
  <c r="A20" i="125" s="1"/>
  <c r="A21" i="125" s="1"/>
  <c r="A22" i="125" s="1"/>
  <c r="A23" i="125" s="1"/>
  <c r="A24" i="125" s="1"/>
  <c r="A25" i="125" s="1"/>
  <c r="A26" i="125" s="1"/>
  <c r="A27" i="125" s="1"/>
  <c r="A28" i="125" s="1"/>
  <c r="A29" i="125" s="1"/>
  <c r="A30" i="125" s="1"/>
  <c r="A31" i="125" s="1"/>
  <c r="A32" i="125" s="1"/>
  <c r="A33" i="125" s="1"/>
  <c r="A34" i="125" s="1"/>
  <c r="A35" i="125" s="1"/>
  <c r="A36" i="125" s="1"/>
  <c r="A37" i="125" s="1"/>
  <c r="A38" i="125" s="1"/>
  <c r="A39" i="125" s="1"/>
  <c r="A40" i="125" s="1"/>
  <c r="A41" i="125" s="1"/>
  <c r="A42" i="125" s="1"/>
  <c r="A43" i="125" s="1"/>
  <c r="A44" i="125" s="1"/>
  <c r="A45" i="125" s="1"/>
  <c r="A46" i="125" s="1"/>
  <c r="A47" i="125" s="1"/>
  <c r="A48" i="125" s="1"/>
  <c r="A49" i="125" s="1"/>
  <c r="A50" i="125" s="1"/>
  <c r="A51" i="125" s="1"/>
  <c r="A52" i="125" s="1"/>
  <c r="A2" i="125"/>
  <c r="K101" i="127" l="1"/>
  <c r="K48" i="127"/>
  <c r="K57" i="127"/>
  <c r="E72" i="92"/>
  <c r="G78" i="97" s="1"/>
  <c r="K89" i="127"/>
  <c r="E84" i="92"/>
  <c r="G91" i="97" s="1"/>
  <c r="E40" i="92"/>
  <c r="E49" i="92"/>
  <c r="I100" i="97"/>
  <c r="I88" i="97"/>
  <c r="K59" i="127" l="1"/>
  <c r="G40" i="97"/>
  <c r="J40" i="92"/>
  <c r="G50" i="97"/>
  <c r="J49" i="92"/>
  <c r="K103" i="127"/>
  <c r="I47" i="97"/>
  <c r="I56" i="97"/>
  <c r="I58" i="97" l="1"/>
  <c r="D32" i="86"/>
  <c r="E32" i="86" s="1"/>
  <c r="B33" i="86"/>
  <c r="E31" i="86"/>
  <c r="B19" i="86"/>
  <c r="B16" i="86"/>
  <c r="A4" i="118" l="1"/>
  <c r="A2" i="118"/>
  <c r="J60" i="92" l="1"/>
  <c r="A4" i="105"/>
  <c r="A2" i="105"/>
  <c r="A4" i="86"/>
  <c r="A2" i="86"/>
  <c r="A10" i="123" l="1"/>
  <c r="A11" i="123" s="1"/>
  <c r="A12" i="123" s="1"/>
  <c r="A13" i="123" s="1"/>
  <c r="A14" i="123" s="1"/>
  <c r="A15" i="123" s="1"/>
  <c r="A16" i="123" s="1"/>
  <c r="A17" i="123" s="1"/>
  <c r="A18" i="123" s="1"/>
  <c r="A19" i="123" s="1"/>
  <c r="A20" i="123" s="1"/>
  <c r="A21" i="123" s="1"/>
  <c r="A22" i="123" s="1"/>
  <c r="A23" i="123" s="1"/>
  <c r="A24" i="123" s="1"/>
  <c r="A25" i="123" s="1"/>
  <c r="A26" i="123" s="1"/>
  <c r="A27" i="123" s="1"/>
  <c r="A28" i="123" s="1"/>
  <c r="A29" i="123" s="1"/>
  <c r="A30" i="123" s="1"/>
  <c r="A31" i="123" s="1"/>
  <c r="A32" i="123" s="1"/>
  <c r="A33" i="123" s="1"/>
  <c r="A34" i="123" s="1"/>
  <c r="A35" i="123" s="1"/>
  <c r="A36" i="123" s="1"/>
  <c r="A37" i="123" s="1"/>
  <c r="A38" i="123" s="1"/>
  <c r="A39" i="123" s="1"/>
  <c r="A40" i="123" s="1"/>
  <c r="A41" i="123" s="1"/>
  <c r="A42" i="123" s="1"/>
  <c r="A43" i="123" s="1"/>
  <c r="A44" i="123" s="1"/>
  <c r="A45" i="123" s="1"/>
  <c r="A46" i="123" s="1"/>
  <c r="A47" i="123" s="1"/>
  <c r="B4" i="123"/>
  <c r="B2" i="123"/>
  <c r="A10" i="118" l="1"/>
  <c r="A11" i="118" s="1"/>
  <c r="A12" i="118" s="1"/>
  <c r="A13" i="118" s="1"/>
  <c r="A14" i="118" s="1"/>
  <c r="A15" i="118" s="1"/>
  <c r="A16" i="118" s="1"/>
  <c r="A17" i="118" s="1"/>
  <c r="A18" i="118" s="1"/>
  <c r="A4" i="115" l="1"/>
  <c r="A2" i="115"/>
  <c r="D14" i="93"/>
  <c r="C56" i="116"/>
  <c r="C53" i="116"/>
  <c r="C50" i="116"/>
  <c r="C47" i="116"/>
  <c r="C37" i="116"/>
  <c r="C34" i="116"/>
  <c r="C31" i="116"/>
  <c r="P17" i="116"/>
  <c r="A11" i="116"/>
  <c r="A12" i="116" s="1"/>
  <c r="A13" i="116" s="1"/>
  <c r="A14" i="116" s="1"/>
  <c r="J18" i="116" l="1"/>
  <c r="J42" i="116" s="1"/>
  <c r="J21" i="115" s="1"/>
  <c r="N18" i="116"/>
  <c r="N42" i="116" s="1"/>
  <c r="N21" i="115" s="1"/>
  <c r="D24" i="93"/>
  <c r="F18" i="116"/>
  <c r="F42" i="116" s="1"/>
  <c r="F21" i="115" s="1"/>
  <c r="A15" i="116"/>
  <c r="A16" i="116" s="1"/>
  <c r="A17" i="116" s="1"/>
  <c r="A18" i="116" s="1"/>
  <c r="A19" i="116" s="1"/>
  <c r="A20" i="116" s="1"/>
  <c r="A21" i="116" s="1"/>
  <c r="A22" i="116" s="1"/>
  <c r="J48" i="116"/>
  <c r="J54" i="116"/>
  <c r="N48" i="116"/>
  <c r="N54" i="116"/>
  <c r="N57" i="116"/>
  <c r="O18" i="116"/>
  <c r="O42" i="116" s="1"/>
  <c r="O21" i="115" s="1"/>
  <c r="L18" i="116"/>
  <c r="L42" i="116" s="1"/>
  <c r="L21" i="115" s="1"/>
  <c r="H18" i="116"/>
  <c r="H42" i="116" s="1"/>
  <c r="H21" i="115" s="1"/>
  <c r="D18" i="116"/>
  <c r="D42" i="116" s="1"/>
  <c r="D21" i="115" s="1"/>
  <c r="K18" i="116"/>
  <c r="K42" i="116" s="1"/>
  <c r="K21" i="115" s="1"/>
  <c r="G18" i="116"/>
  <c r="G42" i="116" s="1"/>
  <c r="G21" i="115" s="1"/>
  <c r="E18" i="116"/>
  <c r="E42" i="116" s="1"/>
  <c r="E21" i="115" s="1"/>
  <c r="I18" i="116"/>
  <c r="M18" i="116"/>
  <c r="M54" i="116"/>
  <c r="P13" i="116"/>
  <c r="E51" i="116"/>
  <c r="E22" i="115" s="1"/>
  <c r="E23" i="115" s="1"/>
  <c r="E27" i="115" s="1"/>
  <c r="J51" i="116"/>
  <c r="J22" i="115" s="1"/>
  <c r="N51" i="116"/>
  <c r="N22" i="115" s="1"/>
  <c r="N23" i="115" s="1"/>
  <c r="N27" i="115" s="1"/>
  <c r="K54" i="116"/>
  <c r="D57" i="116"/>
  <c r="H57" i="116"/>
  <c r="L57" i="116"/>
  <c r="H51" i="116"/>
  <c r="H22" i="115" s="1"/>
  <c r="H23" i="115" s="1"/>
  <c r="H27" i="115" s="1"/>
  <c r="J57" i="116"/>
  <c r="M48" i="116" l="1"/>
  <c r="M42" i="116"/>
  <c r="M21" i="115" s="1"/>
  <c r="I57" i="116"/>
  <c r="I42" i="116"/>
  <c r="I21" i="115" s="1"/>
  <c r="F51" i="116"/>
  <c r="F22" i="115" s="1"/>
  <c r="F23" i="115" s="1"/>
  <c r="F27" i="115" s="1"/>
  <c r="E48" i="116"/>
  <c r="F48" i="116"/>
  <c r="I48" i="116"/>
  <c r="P21" i="115"/>
  <c r="G57" i="116"/>
  <c r="F54" i="116"/>
  <c r="F57" i="116"/>
  <c r="E54" i="116"/>
  <c r="D51" i="116"/>
  <c r="D22" i="115" s="1"/>
  <c r="M51" i="116"/>
  <c r="M22" i="115" s="1"/>
  <c r="M23" i="115" s="1"/>
  <c r="M27" i="115" s="1"/>
  <c r="E57" i="116"/>
  <c r="I51" i="116"/>
  <c r="I22" i="115" s="1"/>
  <c r="I23" i="115" s="1"/>
  <c r="I27" i="115" s="1"/>
  <c r="J23" i="115"/>
  <c r="P42" i="116"/>
  <c r="C23" i="116"/>
  <c r="A23" i="116"/>
  <c r="A24" i="116" s="1"/>
  <c r="A25" i="116" s="1"/>
  <c r="A26" i="116" s="1"/>
  <c r="A27" i="116" s="1"/>
  <c r="A28" i="116" s="1"/>
  <c r="A29" i="116" s="1"/>
  <c r="A30" i="116" s="1"/>
  <c r="A31" i="116" s="1"/>
  <c r="A32" i="116" s="1"/>
  <c r="A33" i="116" s="1"/>
  <c r="A34" i="116" s="1"/>
  <c r="A35" i="116" s="1"/>
  <c r="A36" i="116" s="1"/>
  <c r="A37" i="116" s="1"/>
  <c r="A38" i="116" s="1"/>
  <c r="A39" i="116" s="1"/>
  <c r="A40" i="116" s="1"/>
  <c r="A41" i="116" s="1"/>
  <c r="P45" i="116"/>
  <c r="F14" i="116"/>
  <c r="N14" i="116"/>
  <c r="J14" i="116"/>
  <c r="I14" i="116"/>
  <c r="E14" i="116"/>
  <c r="M14" i="116"/>
  <c r="G48" i="116"/>
  <c r="G51" i="116"/>
  <c r="G22" i="115" s="1"/>
  <c r="G23" i="115" s="1"/>
  <c r="G27" i="115" s="1"/>
  <c r="L48" i="116"/>
  <c r="L54" i="116"/>
  <c r="D14" i="116"/>
  <c r="G54" i="116"/>
  <c r="K48" i="116"/>
  <c r="K51" i="116"/>
  <c r="K22" i="115" s="1"/>
  <c r="K23" i="115" s="1"/>
  <c r="K27" i="115" s="1"/>
  <c r="O48" i="116"/>
  <c r="O51" i="116"/>
  <c r="O22" i="115" s="1"/>
  <c r="O23" i="115" s="1"/>
  <c r="O27" i="115" s="1"/>
  <c r="O14" i="116"/>
  <c r="O29" i="116" s="1"/>
  <c r="M57" i="116"/>
  <c r="O57" i="116"/>
  <c r="P18" i="116"/>
  <c r="D54" i="116"/>
  <c r="D48" i="116"/>
  <c r="L14" i="116"/>
  <c r="L51" i="116"/>
  <c r="K14" i="116"/>
  <c r="I54" i="116"/>
  <c r="O54" i="116"/>
  <c r="K57" i="116"/>
  <c r="H54" i="116"/>
  <c r="H48" i="116"/>
  <c r="H14" i="116"/>
  <c r="G14" i="116"/>
  <c r="P57" i="116" l="1"/>
  <c r="D23" i="115"/>
  <c r="D27" i="115" s="1"/>
  <c r="P54" i="116"/>
  <c r="P51" i="116"/>
  <c r="L22" i="115"/>
  <c r="L23" i="115" s="1"/>
  <c r="L27" i="115" s="1"/>
  <c r="J27" i="115"/>
  <c r="P27" i="115" s="1"/>
  <c r="P23" i="115"/>
  <c r="A42" i="116"/>
  <c r="A43" i="116" s="1"/>
  <c r="A44" i="116" s="1"/>
  <c r="C42" i="116"/>
  <c r="G29" i="116"/>
  <c r="G38" i="116"/>
  <c r="G35" i="116"/>
  <c r="G32" i="116"/>
  <c r="G12" i="115" s="1"/>
  <c r="K38" i="116"/>
  <c r="K29" i="116"/>
  <c r="K35" i="116"/>
  <c r="K32" i="116"/>
  <c r="K12" i="115" s="1"/>
  <c r="D32" i="116"/>
  <c r="D12" i="115" s="1"/>
  <c r="P14" i="116"/>
  <c r="D38" i="116"/>
  <c r="D35" i="116"/>
  <c r="D29" i="116"/>
  <c r="J38" i="116"/>
  <c r="J32" i="116"/>
  <c r="J12" i="115" s="1"/>
  <c r="J35" i="116"/>
  <c r="J29" i="116"/>
  <c r="H38" i="116"/>
  <c r="H32" i="116"/>
  <c r="H12" i="115" s="1"/>
  <c r="H35" i="116"/>
  <c r="H29" i="116"/>
  <c r="M38" i="116"/>
  <c r="M35" i="116"/>
  <c r="M32" i="116"/>
  <c r="M12" i="115" s="1"/>
  <c r="M29" i="116"/>
  <c r="N32" i="116"/>
  <c r="N12" i="115" s="1"/>
  <c r="N38" i="116"/>
  <c r="N35" i="116"/>
  <c r="N29" i="116"/>
  <c r="L38" i="116"/>
  <c r="L32" i="116"/>
  <c r="L12" i="115" s="1"/>
  <c r="L29" i="116"/>
  <c r="L35" i="116"/>
  <c r="O38" i="116"/>
  <c r="O35" i="116"/>
  <c r="O32" i="116"/>
  <c r="O12" i="115" s="1"/>
  <c r="E35" i="116"/>
  <c r="E32" i="116"/>
  <c r="E12" i="115" s="1"/>
  <c r="E38" i="116"/>
  <c r="E29" i="116"/>
  <c r="F32" i="116"/>
  <c r="F12" i="115" s="1"/>
  <c r="F38" i="116"/>
  <c r="F29" i="116"/>
  <c r="F35" i="116"/>
  <c r="P48" i="116"/>
  <c r="I29" i="116"/>
  <c r="I38" i="116"/>
  <c r="I35" i="116"/>
  <c r="I32" i="116"/>
  <c r="I12" i="115" s="1"/>
  <c r="P22" i="115" l="1"/>
  <c r="P12" i="115"/>
  <c r="A45" i="116"/>
  <c r="A46" i="116" s="1"/>
  <c r="A47" i="116" s="1"/>
  <c r="A48" i="116" s="1"/>
  <c r="A49" i="116" s="1"/>
  <c r="A50" i="116" s="1"/>
  <c r="A51" i="116" s="1"/>
  <c r="A52" i="116" s="1"/>
  <c r="A53" i="116" s="1"/>
  <c r="A54" i="116" s="1"/>
  <c r="A55" i="116" s="1"/>
  <c r="A56" i="116" s="1"/>
  <c r="A57" i="116" s="1"/>
  <c r="A58" i="116" s="1"/>
  <c r="A59" i="116" s="1"/>
  <c r="C45" i="116"/>
  <c r="C26" i="116"/>
  <c r="P38" i="116"/>
  <c r="P29" i="116"/>
  <c r="P32" i="116"/>
  <c r="P35" i="116"/>
  <c r="C29" i="116" l="1"/>
  <c r="C32" i="116" l="1"/>
  <c r="C35" i="116" l="1"/>
  <c r="C38" i="116" l="1"/>
  <c r="C48" i="116" l="1"/>
  <c r="C51" i="116" l="1"/>
  <c r="C54" i="116" l="1"/>
  <c r="C57" i="116" l="1"/>
  <c r="A10" i="115" l="1"/>
  <c r="A11" i="115" s="1"/>
  <c r="A12" i="115" s="1"/>
  <c r="A13" i="115" s="1"/>
  <c r="A14" i="115" s="1"/>
  <c r="A15" i="115" s="1"/>
  <c r="A16" i="115" s="1"/>
  <c r="A17" i="115" s="1"/>
  <c r="A18" i="115" s="1"/>
  <c r="A19" i="115" s="1"/>
  <c r="A20" i="115" s="1"/>
  <c r="A21" i="115" s="1"/>
  <c r="A22" i="115" s="1"/>
  <c r="A23" i="115" s="1"/>
  <c r="A24" i="115" s="1"/>
  <c r="A25" i="115" s="1"/>
  <c r="A26" i="115" s="1"/>
  <c r="A27" i="115" s="1"/>
  <c r="A28" i="115" s="1"/>
  <c r="A29" i="115" s="1"/>
  <c r="A30" i="115" s="1"/>
  <c r="A31" i="115" s="1"/>
  <c r="D29" i="86" l="1"/>
  <c r="E15" i="113" l="1"/>
  <c r="E17" i="113" s="1"/>
  <c r="E19" i="113" s="1"/>
  <c r="B15" i="113"/>
  <c r="E20" i="113" l="1"/>
  <c r="E21" i="113" s="1"/>
  <c r="D25" i="102" s="1"/>
  <c r="E22" i="137"/>
  <c r="E24" i="137" s="1"/>
  <c r="AQ19" i="84" s="1"/>
  <c r="AQ20" i="84" s="1"/>
  <c r="D22" i="137"/>
  <c r="D24" i="137" s="1"/>
  <c r="AP19" i="84" s="1"/>
  <c r="AP20" i="84" s="1"/>
  <c r="D13" i="137"/>
  <c r="D15" i="137" s="1"/>
  <c r="AP12" i="84" s="1"/>
  <c r="AP13" i="84" s="1"/>
  <c r="AP67" i="84" s="1"/>
  <c r="E13" i="137"/>
  <c r="E15" i="137" s="1"/>
  <c r="AQ12" i="84" s="1"/>
  <c r="AQ13" i="84" s="1"/>
  <c r="AQ67" i="84" s="1"/>
  <c r="E18" i="108"/>
  <c r="D18" i="108"/>
  <c r="A4" i="85"/>
  <c r="A2" i="85"/>
  <c r="A4" i="84"/>
  <c r="A2" i="84"/>
  <c r="G122" i="110" l="1"/>
  <c r="H121" i="110"/>
  <c r="H120" i="110"/>
  <c r="H119" i="110"/>
  <c r="H118" i="110"/>
  <c r="G115" i="110"/>
  <c r="H114" i="110"/>
  <c r="H113" i="110"/>
  <c r="H112" i="110"/>
  <c r="H111" i="110"/>
  <c r="H110" i="110"/>
  <c r="H109" i="110"/>
  <c r="H108" i="110"/>
  <c r="G105" i="110"/>
  <c r="H104" i="110"/>
  <c r="H103" i="110"/>
  <c r="H102" i="110"/>
  <c r="H101" i="110"/>
  <c r="H100" i="110"/>
  <c r="H99" i="110"/>
  <c r="G94" i="110"/>
  <c r="H93" i="110"/>
  <c r="H92" i="110"/>
  <c r="H91" i="110"/>
  <c r="H90" i="110"/>
  <c r="H89" i="110"/>
  <c r="H88" i="110"/>
  <c r="H86" i="110"/>
  <c r="H85" i="110"/>
  <c r="G82" i="110"/>
  <c r="H81" i="110"/>
  <c r="H80" i="110"/>
  <c r="H79" i="110"/>
  <c r="H78" i="110"/>
  <c r="H77" i="110"/>
  <c r="H76" i="110"/>
  <c r="H74" i="110"/>
  <c r="H73" i="110"/>
  <c r="H72" i="110"/>
  <c r="G67" i="110"/>
  <c r="H66" i="110"/>
  <c r="H65" i="110"/>
  <c r="H63" i="110"/>
  <c r="G60" i="110"/>
  <c r="G69" i="110" s="1"/>
  <c r="H59" i="110"/>
  <c r="H58" i="110"/>
  <c r="H56" i="110"/>
  <c r="H55" i="110"/>
  <c r="G50" i="110"/>
  <c r="H49" i="110"/>
  <c r="H48" i="110"/>
  <c r="H47" i="110"/>
  <c r="H45" i="110"/>
  <c r="H44" i="110"/>
  <c r="G41" i="110"/>
  <c r="G52" i="110" s="1"/>
  <c r="H40" i="110"/>
  <c r="H39" i="110"/>
  <c r="H38" i="110"/>
  <c r="H36" i="110"/>
  <c r="H35" i="110"/>
  <c r="H34" i="110"/>
  <c r="G29" i="110"/>
  <c r="H28" i="110"/>
  <c r="H27" i="110"/>
  <c r="H25" i="110"/>
  <c r="H24" i="110"/>
  <c r="G21" i="110"/>
  <c r="G31" i="110" s="1"/>
  <c r="H20" i="110"/>
  <c r="H19" i="110"/>
  <c r="H17" i="110"/>
  <c r="H14" i="110"/>
  <c r="F14" i="109" s="1"/>
  <c r="H12" i="110"/>
  <c r="F12" i="109" s="1"/>
  <c r="H10" i="110"/>
  <c r="B10" i="110"/>
  <c r="B11" i="110" s="1"/>
  <c r="B12" i="110" s="1"/>
  <c r="B13" i="110" s="1"/>
  <c r="B14" i="110" s="1"/>
  <c r="B15" i="110" s="1"/>
  <c r="B16" i="110" s="1"/>
  <c r="B17" i="110" s="1"/>
  <c r="B18" i="110" s="1"/>
  <c r="B19" i="110" s="1"/>
  <c r="B20" i="110" s="1"/>
  <c r="B21" i="110" s="1"/>
  <c r="B22" i="110" s="1"/>
  <c r="B23" i="110" s="1"/>
  <c r="B24" i="110" s="1"/>
  <c r="B25" i="110" s="1"/>
  <c r="B26" i="110" s="1"/>
  <c r="B27" i="110" s="1"/>
  <c r="B28" i="110" s="1"/>
  <c r="B29" i="110" s="1"/>
  <c r="B30" i="110" s="1"/>
  <c r="B31" i="110" s="1"/>
  <c r="B32" i="110" s="1"/>
  <c r="B33" i="110" s="1"/>
  <c r="B34" i="110" s="1"/>
  <c r="B35" i="110" s="1"/>
  <c r="B36" i="110" s="1"/>
  <c r="B37" i="110" s="1"/>
  <c r="B38" i="110" s="1"/>
  <c r="B39" i="110" s="1"/>
  <c r="B40" i="110" s="1"/>
  <c r="B41" i="110" s="1"/>
  <c r="B42" i="110" s="1"/>
  <c r="B43" i="110" s="1"/>
  <c r="B44" i="110" s="1"/>
  <c r="B45" i="110" s="1"/>
  <c r="B46" i="110" s="1"/>
  <c r="B47" i="110" s="1"/>
  <c r="B48" i="110" s="1"/>
  <c r="B49" i="110" s="1"/>
  <c r="B50" i="110" s="1"/>
  <c r="B51" i="110" s="1"/>
  <c r="B52" i="110" s="1"/>
  <c r="B53" i="110" s="1"/>
  <c r="B54" i="110" s="1"/>
  <c r="B55" i="110" s="1"/>
  <c r="B56" i="110" s="1"/>
  <c r="B57" i="110" s="1"/>
  <c r="B58" i="110" s="1"/>
  <c r="B59" i="110" s="1"/>
  <c r="B60" i="110" s="1"/>
  <c r="B61" i="110" s="1"/>
  <c r="B62" i="110" s="1"/>
  <c r="B63" i="110" s="1"/>
  <c r="B64" i="110" s="1"/>
  <c r="B65" i="110" s="1"/>
  <c r="B66" i="110" s="1"/>
  <c r="B67" i="110" s="1"/>
  <c r="B68" i="110" s="1"/>
  <c r="B69" i="110" s="1"/>
  <c r="B70" i="110" s="1"/>
  <c r="B71" i="110" s="1"/>
  <c r="B72" i="110" s="1"/>
  <c r="B73" i="110" s="1"/>
  <c r="B74" i="110" s="1"/>
  <c r="B75" i="110" s="1"/>
  <c r="B76" i="110" s="1"/>
  <c r="B77" i="110" s="1"/>
  <c r="B78" i="110" s="1"/>
  <c r="B79" i="110" s="1"/>
  <c r="B80" i="110" s="1"/>
  <c r="B81" i="110" s="1"/>
  <c r="B82" i="110" s="1"/>
  <c r="B83" i="110" s="1"/>
  <c r="B84" i="110" s="1"/>
  <c r="B85" i="110" s="1"/>
  <c r="B86" i="110" s="1"/>
  <c r="B87" i="110" s="1"/>
  <c r="B88" i="110" s="1"/>
  <c r="B89" i="110" s="1"/>
  <c r="B90" i="110" s="1"/>
  <c r="B91" i="110" s="1"/>
  <c r="B92" i="110" s="1"/>
  <c r="B93" i="110" s="1"/>
  <c r="B94" i="110" s="1"/>
  <c r="B95" i="110" s="1"/>
  <c r="B96" i="110" s="1"/>
  <c r="B97" i="110" s="1"/>
  <c r="B98" i="110" s="1"/>
  <c r="B99" i="110" s="1"/>
  <c r="B100" i="110" s="1"/>
  <c r="B101" i="110" s="1"/>
  <c r="B102" i="110" s="1"/>
  <c r="B103" i="110" s="1"/>
  <c r="B104" i="110" s="1"/>
  <c r="B105" i="110" s="1"/>
  <c r="B106" i="110" s="1"/>
  <c r="B107" i="110" s="1"/>
  <c r="B108" i="110" s="1"/>
  <c r="B109" i="110" s="1"/>
  <c r="B110" i="110" s="1"/>
  <c r="B111" i="110" s="1"/>
  <c r="B112" i="110" s="1"/>
  <c r="B113" i="110" s="1"/>
  <c r="B114" i="110" s="1"/>
  <c r="B115" i="110" s="1"/>
  <c r="B116" i="110" s="1"/>
  <c r="B117" i="110" s="1"/>
  <c r="B118" i="110" s="1"/>
  <c r="B119" i="110" s="1"/>
  <c r="B120" i="110" s="1"/>
  <c r="B121" i="110" s="1"/>
  <c r="B122" i="110" s="1"/>
  <c r="B123" i="110" s="1"/>
  <c r="B124" i="110" s="1"/>
  <c r="B125" i="110" s="1"/>
  <c r="B126" i="110" s="1"/>
  <c r="G96" i="110" l="1"/>
  <c r="G124" i="110"/>
  <c r="H122" i="110"/>
  <c r="H115" i="110"/>
  <c r="H105" i="110"/>
  <c r="H94" i="110"/>
  <c r="F28" i="109" s="1"/>
  <c r="H82" i="110"/>
  <c r="F27" i="109" s="1"/>
  <c r="H67" i="110"/>
  <c r="F25" i="109" s="1"/>
  <c r="H60" i="110"/>
  <c r="H50" i="110"/>
  <c r="F22" i="109" s="1"/>
  <c r="H41" i="110"/>
  <c r="F21" i="109" s="1"/>
  <c r="H29" i="110"/>
  <c r="F19" i="109" s="1"/>
  <c r="H21" i="110"/>
  <c r="H31" i="110" s="1"/>
  <c r="G126" i="110"/>
  <c r="H124" i="110" l="1"/>
  <c r="F31" i="109" s="1"/>
  <c r="F18" i="109"/>
  <c r="H96" i="110"/>
  <c r="H69" i="110"/>
  <c r="F24" i="109"/>
  <c r="H52" i="110"/>
  <c r="A4" i="109"/>
  <c r="A2" i="109"/>
  <c r="D31" i="109"/>
  <c r="D28" i="109"/>
  <c r="D27" i="109"/>
  <c r="D24" i="109"/>
  <c r="D21" i="109"/>
  <c r="D18" i="109"/>
  <c r="D14" i="109"/>
  <c r="D12" i="109"/>
  <c r="M24" i="109"/>
  <c r="M21" i="109"/>
  <c r="M18" i="109"/>
  <c r="M14" i="109"/>
  <c r="M12" i="109"/>
  <c r="E7" i="109"/>
  <c r="F29" i="109" l="1"/>
  <c r="H126" i="110"/>
  <c r="B28" i="108" l="1"/>
  <c r="A10" i="108"/>
  <c r="A11" i="108" s="1"/>
  <c r="A12" i="108" s="1"/>
  <c r="A13" i="108" s="1"/>
  <c r="A14" i="108" s="1"/>
  <c r="A15" i="108" s="1"/>
  <c r="A16" i="108" s="1"/>
  <c r="A17" i="108" s="1"/>
  <c r="A18" i="108" s="1"/>
  <c r="A19" i="108" s="1"/>
  <c r="A20" i="108" s="1"/>
  <c r="A21" i="108" s="1"/>
  <c r="A22" i="108" s="1"/>
  <c r="A23" i="108" s="1"/>
  <c r="A24" i="108" s="1"/>
  <c r="A25" i="108" s="1"/>
  <c r="A26" i="108" s="1"/>
  <c r="A27" i="108" s="1"/>
  <c r="A28" i="108" s="1"/>
  <c r="A4" i="108"/>
  <c r="A2" i="108"/>
  <c r="A10" i="105" l="1"/>
  <c r="A11" i="105" s="1"/>
  <c r="A12" i="105" s="1"/>
  <c r="A13" i="105" s="1"/>
  <c r="A14" i="105" s="1"/>
  <c r="A15" i="105" s="1"/>
  <c r="A16" i="105" s="1"/>
  <c r="A17" i="105" s="1"/>
  <c r="A18" i="105" s="1"/>
  <c r="A19" i="105" s="1"/>
  <c r="A20" i="105" s="1"/>
  <c r="B18" i="103" l="1"/>
  <c r="A10" i="103"/>
  <c r="A11" i="103" s="1"/>
  <c r="A12" i="103" s="1"/>
  <c r="A13" i="103" s="1"/>
  <c r="A14" i="103" s="1"/>
  <c r="A15" i="103" s="1"/>
  <c r="A16" i="103" s="1"/>
  <c r="A17" i="103" s="1"/>
  <c r="A18" i="103" s="1"/>
  <c r="A4" i="103"/>
  <c r="A2" i="103"/>
  <c r="A4" i="102" l="1"/>
  <c r="A2" i="102"/>
  <c r="D17" i="102" l="1"/>
  <c r="D19" i="102" s="1"/>
  <c r="D23" i="102" s="1"/>
  <c r="D27" i="102" s="1"/>
  <c r="D14" i="103" s="1"/>
  <c r="G27" i="91"/>
  <c r="B4" i="91" l="1"/>
  <c r="B2" i="91"/>
  <c r="B2" i="97"/>
  <c r="B4" i="97"/>
  <c r="B4" i="92"/>
  <c r="B2" i="92"/>
  <c r="O45" i="84" l="1"/>
  <c r="B4" i="96" l="1"/>
  <c r="B2" i="96"/>
  <c r="A4" i="63"/>
  <c r="D41" i="136" l="1"/>
  <c r="E41" i="136" s="1"/>
  <c r="F41" i="136" s="1"/>
  <c r="G41" i="136" s="1"/>
  <c r="H41" i="136" s="1"/>
  <c r="I41" i="136" s="1"/>
  <c r="J41" i="136" s="1"/>
  <c r="K41" i="136" s="1"/>
  <c r="L41" i="136" s="1"/>
  <c r="M41" i="136" s="1"/>
  <c r="N41" i="136" s="1"/>
  <c r="D31" i="136"/>
  <c r="E31" i="136" s="1"/>
  <c r="F31" i="136" s="1"/>
  <c r="G31" i="136" s="1"/>
  <c r="H31" i="136" s="1"/>
  <c r="I31" i="136" s="1"/>
  <c r="J31" i="136" s="1"/>
  <c r="K31" i="136" s="1"/>
  <c r="L31" i="136" s="1"/>
  <c r="M31" i="136" s="1"/>
  <c r="N31" i="136" s="1"/>
  <c r="B11" i="97"/>
  <c r="B12" i="97" s="1"/>
  <c r="B13" i="97" s="1"/>
  <c r="B14" i="97" s="1"/>
  <c r="B15" i="97" s="1"/>
  <c r="B16" i="97" s="1"/>
  <c r="B17" i="97" s="1"/>
  <c r="B18" i="97" s="1"/>
  <c r="B19" i="97" s="1"/>
  <c r="B20" i="97" s="1"/>
  <c r="B21" i="97" s="1"/>
  <c r="B22" i="97" s="1"/>
  <c r="B23" i="97" s="1"/>
  <c r="B24" i="97" s="1"/>
  <c r="B25" i="97" s="1"/>
  <c r="B26" i="97" s="1"/>
  <c r="B27" i="97" s="1"/>
  <c r="B28" i="97" s="1"/>
  <c r="B29" i="97" s="1"/>
  <c r="B30" i="97" s="1"/>
  <c r="B31" i="97" s="1"/>
  <c r="B32" i="97" s="1"/>
  <c r="B33" i="97" s="1"/>
  <c r="B34" i="97" s="1"/>
  <c r="B35" i="97" s="1"/>
  <c r="B36" i="97" s="1"/>
  <c r="B37" i="97" s="1"/>
  <c r="B38" i="97" s="1"/>
  <c r="B39" i="97" s="1"/>
  <c r="B40" i="97" s="1"/>
  <c r="B41" i="97" s="1"/>
  <c r="B42" i="97" s="1"/>
  <c r="B43" i="97" s="1"/>
  <c r="B44" i="97" s="1"/>
  <c r="B45" i="97" s="1"/>
  <c r="B46" i="97" s="1"/>
  <c r="B47" i="97" s="1"/>
  <c r="B48" i="97" s="1"/>
  <c r="B49" i="97" s="1"/>
  <c r="B50" i="97" s="1"/>
  <c r="B51" i="97" s="1"/>
  <c r="B52" i="97" s="1"/>
  <c r="B53" i="97" s="1"/>
  <c r="B54" i="97" s="1"/>
  <c r="B55" i="97" s="1"/>
  <c r="B56" i="97" s="1"/>
  <c r="B57" i="97" s="1"/>
  <c r="B58" i="97" s="1"/>
  <c r="B59" i="97" s="1"/>
  <c r="B60" i="97" s="1"/>
  <c r="B61" i="97" s="1"/>
  <c r="B62" i="97" s="1"/>
  <c r="B63" i="97" s="1"/>
  <c r="B64" i="97" s="1"/>
  <c r="B65" i="97" s="1"/>
  <c r="B66" i="97" s="1"/>
  <c r="B67" i="97" s="1"/>
  <c r="B68" i="97" s="1"/>
  <c r="B69" i="97" s="1"/>
  <c r="B70" i="97" s="1"/>
  <c r="B71" i="97" s="1"/>
  <c r="B72" i="97" s="1"/>
  <c r="B73" i="97" s="1"/>
  <c r="B74" i="97" s="1"/>
  <c r="B75" i="97" s="1"/>
  <c r="B76" i="97" s="1"/>
  <c r="B77" i="97" s="1"/>
  <c r="B78" i="97" s="1"/>
  <c r="B79" i="97" s="1"/>
  <c r="B80" i="97" s="1"/>
  <c r="B81" i="97" s="1"/>
  <c r="B82" i="97" s="1"/>
  <c r="B83" i="97" s="1"/>
  <c r="B84" i="97" s="1"/>
  <c r="B85" i="97" s="1"/>
  <c r="B86" i="97" s="1"/>
  <c r="B87" i="97" s="1"/>
  <c r="B88" i="97" s="1"/>
  <c r="B89" i="97" s="1"/>
  <c r="B90" i="97" s="1"/>
  <c r="B91" i="97" s="1"/>
  <c r="B92" i="97" s="1"/>
  <c r="B93" i="97" s="1"/>
  <c r="B94" i="97" s="1"/>
  <c r="B95" i="97" s="1"/>
  <c r="B96" i="97" s="1"/>
  <c r="B97" i="97" s="1"/>
  <c r="B98" i="97" s="1"/>
  <c r="B99" i="97" s="1"/>
  <c r="B100" i="97" s="1"/>
  <c r="B101" i="97" s="1"/>
  <c r="B102" i="97" s="1"/>
  <c r="B103" i="97" s="1"/>
  <c r="B104" i="97" s="1"/>
  <c r="I73" i="97"/>
  <c r="I66" i="97"/>
  <c r="I27" i="97"/>
  <c r="I104" i="97" s="1"/>
  <c r="A10" i="96"/>
  <c r="A11" i="96" s="1"/>
  <c r="A12" i="96" s="1"/>
  <c r="A13" i="96" s="1"/>
  <c r="A14" i="96" s="1"/>
  <c r="A15" i="96" s="1"/>
  <c r="A16" i="96" s="1"/>
  <c r="A17" i="96" s="1"/>
  <c r="A18" i="96" s="1"/>
  <c r="A19" i="96" s="1"/>
  <c r="A20" i="96" s="1"/>
  <c r="A21" i="96" s="1"/>
  <c r="A22" i="96" s="1"/>
  <c r="A23" i="96" s="1"/>
  <c r="A24" i="96" s="1"/>
  <c r="A25" i="96" s="1"/>
  <c r="A26" i="96" s="1"/>
  <c r="A27" i="96" s="1"/>
  <c r="A28" i="96" s="1"/>
  <c r="A29" i="96" s="1"/>
  <c r="A30" i="96" s="1"/>
  <c r="A31" i="96" s="1"/>
  <c r="A32" i="96" s="1"/>
  <c r="A33" i="96" s="1"/>
  <c r="A34" i="96" s="1"/>
  <c r="A35" i="96" s="1"/>
  <c r="A36" i="96" s="1"/>
  <c r="A37" i="96" s="1"/>
  <c r="A38" i="96" s="1"/>
  <c r="A39" i="96" s="1"/>
  <c r="A40" i="96" s="1"/>
  <c r="A41" i="96" s="1"/>
  <c r="A42" i="96" s="1"/>
  <c r="A43" i="96" s="1"/>
  <c r="A44" i="96" s="1"/>
  <c r="A45" i="96" s="1"/>
  <c r="A46" i="96" s="1"/>
  <c r="A47" i="96" s="1"/>
  <c r="E221" i="95"/>
  <c r="E220" i="95"/>
  <c r="E219" i="95"/>
  <c r="E218" i="95"/>
  <c r="E217" i="95"/>
  <c r="E216" i="95"/>
  <c r="E215" i="95"/>
  <c r="E214" i="95"/>
  <c r="E213" i="95"/>
  <c r="E222" i="95" s="1"/>
  <c r="E209" i="95"/>
  <c r="E208" i="95"/>
  <c r="E204" i="95"/>
  <c r="E203" i="95"/>
  <c r="E202" i="95"/>
  <c r="E201" i="95"/>
  <c r="E200" i="95"/>
  <c r="E199" i="95"/>
  <c r="E198" i="95"/>
  <c r="E193" i="95"/>
  <c r="E192" i="95"/>
  <c r="E189" i="95"/>
  <c r="E184" i="95"/>
  <c r="E183" i="95"/>
  <c r="J178" i="95"/>
  <c r="L178" i="95" s="1"/>
  <c r="M178" i="95" s="1"/>
  <c r="J177" i="95"/>
  <c r="G177" i="95"/>
  <c r="L177" i="95" s="1"/>
  <c r="M177" i="95" s="1"/>
  <c r="E177" i="95"/>
  <c r="E175" i="95"/>
  <c r="E171" i="95"/>
  <c r="E170" i="95"/>
  <c r="L167" i="95"/>
  <c r="M167" i="95" s="1"/>
  <c r="I164" i="95"/>
  <c r="G164" i="95"/>
  <c r="I163" i="95"/>
  <c r="O163" i="95" s="1"/>
  <c r="G163" i="95"/>
  <c r="I162" i="95"/>
  <c r="O162" i="95" s="1"/>
  <c r="G162" i="95"/>
  <c r="I161" i="95"/>
  <c r="O161" i="95" s="1"/>
  <c r="G161" i="95"/>
  <c r="G165" i="95" s="1"/>
  <c r="I157" i="95"/>
  <c r="O157" i="95" s="1"/>
  <c r="G157" i="95"/>
  <c r="I156" i="95"/>
  <c r="G156" i="95"/>
  <c r="I155" i="95"/>
  <c r="G155" i="95"/>
  <c r="I154" i="95"/>
  <c r="O154" i="95" s="1"/>
  <c r="G154" i="95"/>
  <c r="I153" i="95"/>
  <c r="O153" i="95" s="1"/>
  <c r="G153" i="95"/>
  <c r="I152" i="95"/>
  <c r="O152" i="95" s="1"/>
  <c r="G152" i="95"/>
  <c r="I151" i="95"/>
  <c r="O151" i="95" s="1"/>
  <c r="G151" i="95"/>
  <c r="G158" i="95" s="1"/>
  <c r="I147" i="95"/>
  <c r="G147" i="95"/>
  <c r="I146" i="95"/>
  <c r="O146" i="95" s="1"/>
  <c r="G146" i="95"/>
  <c r="I145" i="95"/>
  <c r="O145" i="95" s="1"/>
  <c r="G145" i="95"/>
  <c r="I144" i="95"/>
  <c r="G144" i="95"/>
  <c r="I143" i="95"/>
  <c r="G143" i="95"/>
  <c r="I142" i="95"/>
  <c r="G142" i="95"/>
  <c r="G148" i="95" s="1"/>
  <c r="F137" i="95"/>
  <c r="E137" i="95"/>
  <c r="G137" i="95" s="1"/>
  <c r="F136" i="95"/>
  <c r="G136" i="95" s="1"/>
  <c r="F135" i="95"/>
  <c r="G135" i="95" s="1"/>
  <c r="F134" i="95"/>
  <c r="G134" i="95" s="1"/>
  <c r="F133" i="95"/>
  <c r="G133" i="95" s="1"/>
  <c r="F132" i="95"/>
  <c r="G132" i="95" s="1"/>
  <c r="L129" i="95"/>
  <c r="M129" i="95" s="1"/>
  <c r="I127" i="95"/>
  <c r="O127" i="95" s="1"/>
  <c r="G127" i="95"/>
  <c r="I122" i="95"/>
  <c r="E122" i="95"/>
  <c r="J122" i="95" s="1"/>
  <c r="I121" i="95"/>
  <c r="G121" i="95"/>
  <c r="I120" i="95"/>
  <c r="G120" i="95"/>
  <c r="I119" i="95"/>
  <c r="O119" i="95" s="1"/>
  <c r="G119" i="95"/>
  <c r="I118" i="95"/>
  <c r="I133" i="95" s="1"/>
  <c r="G118" i="95"/>
  <c r="I117" i="95"/>
  <c r="I132" i="95" s="1"/>
  <c r="O132" i="95" s="1"/>
  <c r="G117" i="95"/>
  <c r="L114" i="95"/>
  <c r="M114" i="95" s="1"/>
  <c r="I113" i="95"/>
  <c r="O113" i="95" s="1"/>
  <c r="E113" i="95"/>
  <c r="J113" i="95" s="1"/>
  <c r="F112" i="95"/>
  <c r="I111" i="95"/>
  <c r="G111" i="95"/>
  <c r="E107" i="95"/>
  <c r="D25" i="109" s="1"/>
  <c r="F106" i="95"/>
  <c r="G106" i="95" s="1"/>
  <c r="F105" i="95"/>
  <c r="G105" i="95" s="1"/>
  <c r="M102" i="95"/>
  <c r="L102" i="95"/>
  <c r="I100" i="95"/>
  <c r="G100" i="95"/>
  <c r="I95" i="95"/>
  <c r="E40" i="123" s="1"/>
  <c r="E95" i="95"/>
  <c r="I94" i="95"/>
  <c r="I105" i="95" s="1"/>
  <c r="G94" i="95"/>
  <c r="L91" i="95"/>
  <c r="M91" i="95" s="1"/>
  <c r="I90" i="95"/>
  <c r="E34" i="96" s="1"/>
  <c r="E90" i="95"/>
  <c r="G90" i="95" s="1"/>
  <c r="F89" i="95"/>
  <c r="I88" i="95"/>
  <c r="O88" i="95" s="1"/>
  <c r="E88" i="95"/>
  <c r="E188" i="95" s="1"/>
  <c r="E84" i="95"/>
  <c r="D22" i="109" s="1"/>
  <c r="F83" i="95"/>
  <c r="G83" i="95" s="1"/>
  <c r="F82" i="95"/>
  <c r="G82" i="95" s="1"/>
  <c r="F81" i="95"/>
  <c r="G81" i="95" s="1"/>
  <c r="L78" i="95"/>
  <c r="M78" i="95" s="1"/>
  <c r="F77" i="95"/>
  <c r="G77" i="95" s="1"/>
  <c r="I76" i="95"/>
  <c r="O76" i="95" s="1"/>
  <c r="E76" i="95"/>
  <c r="G76" i="95" s="1"/>
  <c r="I71" i="95"/>
  <c r="O71" i="95" s="1"/>
  <c r="E71" i="95"/>
  <c r="I70" i="95"/>
  <c r="G70" i="95"/>
  <c r="I69" i="95"/>
  <c r="I81" i="95" s="1"/>
  <c r="G69" i="95"/>
  <c r="L66" i="95"/>
  <c r="M66" i="95" s="1"/>
  <c r="I65" i="95"/>
  <c r="O65" i="95" s="1"/>
  <c r="E65" i="95"/>
  <c r="I64" i="95"/>
  <c r="O64" i="95" s="1"/>
  <c r="G64" i="95"/>
  <c r="I63" i="95"/>
  <c r="O63" i="95" s="1"/>
  <c r="E63" i="95"/>
  <c r="I59" i="95"/>
  <c r="F59" i="95"/>
  <c r="E58" i="95"/>
  <c r="E59" i="95" s="1"/>
  <c r="F57" i="95"/>
  <c r="G57" i="95" s="1"/>
  <c r="F56" i="95"/>
  <c r="G56" i="95" s="1"/>
  <c r="F55" i="95"/>
  <c r="F51" i="95"/>
  <c r="I50" i="95"/>
  <c r="O50" i="95" s="1"/>
  <c r="E50" i="95"/>
  <c r="G50" i="95" s="1"/>
  <c r="I45" i="95"/>
  <c r="E45" i="95"/>
  <c r="I44" i="95"/>
  <c r="O44" i="95" s="1"/>
  <c r="G44" i="95"/>
  <c r="F40" i="95"/>
  <c r="I39" i="95"/>
  <c r="O39" i="95" s="1"/>
  <c r="I38" i="95"/>
  <c r="O38" i="95" s="1"/>
  <c r="E38" i="95"/>
  <c r="E186" i="95" s="1"/>
  <c r="I34" i="95"/>
  <c r="J34" i="95" s="1"/>
  <c r="G34" i="95"/>
  <c r="G35" i="95" s="1"/>
  <c r="I30" i="95"/>
  <c r="F30" i="95"/>
  <c r="G30" i="95" s="1"/>
  <c r="M30" i="95" s="1"/>
  <c r="F29" i="95"/>
  <c r="G29" i="95" s="1"/>
  <c r="M29" i="95" s="1"/>
  <c r="I28" i="95"/>
  <c r="J28" i="95" s="1"/>
  <c r="G28" i="95"/>
  <c r="I24" i="95"/>
  <c r="G24" i="95"/>
  <c r="I23" i="95"/>
  <c r="O23" i="95" s="1"/>
  <c r="E23" i="95"/>
  <c r="E185" i="95" s="1"/>
  <c r="E20" i="95"/>
  <c r="E197" i="95" s="1"/>
  <c r="I19" i="95"/>
  <c r="G19" i="95"/>
  <c r="F15" i="95"/>
  <c r="G15" i="95" s="1"/>
  <c r="F14" i="95"/>
  <c r="G14" i="95" s="1"/>
  <c r="I10" i="95"/>
  <c r="O10" i="95" s="1"/>
  <c r="G10" i="95"/>
  <c r="I9" i="95"/>
  <c r="I14" i="95" s="1"/>
  <c r="G9" i="95"/>
  <c r="G11" i="95" s="1"/>
  <c r="P14" i="94"/>
  <c r="O14" i="94"/>
  <c r="C20" i="144" s="1"/>
  <c r="E20" i="144" s="1"/>
  <c r="N14" i="94"/>
  <c r="M14" i="94"/>
  <c r="J14" i="94"/>
  <c r="I14" i="94"/>
  <c r="H14" i="94"/>
  <c r="G14" i="94"/>
  <c r="D14" i="94"/>
  <c r="D16" i="19" s="1"/>
  <c r="B18" i="141" s="1"/>
  <c r="A10" i="94"/>
  <c r="A11" i="94" s="1"/>
  <c r="A12" i="94" s="1"/>
  <c r="A13" i="94" s="1"/>
  <c r="A14" i="94" s="1"/>
  <c r="A15" i="94" s="1"/>
  <c r="A16" i="94" s="1"/>
  <c r="A17" i="94" s="1"/>
  <c r="A18" i="94" s="1"/>
  <c r="A19" i="94" s="1"/>
  <c r="A20" i="94" s="1"/>
  <c r="A21" i="94" s="1"/>
  <c r="E12" i="19"/>
  <c r="D12" i="19"/>
  <c r="E10" i="19"/>
  <c r="D10" i="19"/>
  <c r="E31" i="93"/>
  <c r="D31" i="93"/>
  <c r="D25" i="93"/>
  <c r="C15" i="105" s="1"/>
  <c r="C19" i="105" s="1"/>
  <c r="E10" i="103" s="1"/>
  <c r="E14" i="93"/>
  <c r="E24" i="93" s="1"/>
  <c r="A10" i="93"/>
  <c r="A11" i="93" s="1"/>
  <c r="A12" i="93" s="1"/>
  <c r="A13" i="93" s="1"/>
  <c r="A14" i="93" s="1"/>
  <c r="A15" i="93" s="1"/>
  <c r="A16" i="93" s="1"/>
  <c r="A17" i="93" s="1"/>
  <c r="A18" i="93" s="1"/>
  <c r="A19" i="93" s="1"/>
  <c r="A20" i="93" s="1"/>
  <c r="A21" i="93" s="1"/>
  <c r="A22" i="93" s="1"/>
  <c r="A23" i="93" s="1"/>
  <c r="A24" i="93" s="1"/>
  <c r="O19" i="95" l="1"/>
  <c r="J19" i="95"/>
  <c r="F52" i="95"/>
  <c r="G52" i="95" s="1"/>
  <c r="G40" i="95"/>
  <c r="G45" i="95"/>
  <c r="J45" i="95"/>
  <c r="L45" i="95" s="1"/>
  <c r="I57" i="95"/>
  <c r="E21" i="96"/>
  <c r="J59" i="95"/>
  <c r="G59" i="95"/>
  <c r="J65" i="95"/>
  <c r="G65" i="95"/>
  <c r="I82" i="95"/>
  <c r="O82" i="95" s="1"/>
  <c r="O70" i="95"/>
  <c r="J70" i="95"/>
  <c r="L70" i="95" s="1"/>
  <c r="J71" i="95"/>
  <c r="G71" i="95"/>
  <c r="F101" i="95"/>
  <c r="G101" i="95" s="1"/>
  <c r="M101" i="95" s="1"/>
  <c r="G89" i="95"/>
  <c r="J95" i="95"/>
  <c r="G95" i="95"/>
  <c r="J100" i="95"/>
  <c r="O100" i="95"/>
  <c r="O111" i="95"/>
  <c r="J111" i="95"/>
  <c r="F128" i="95"/>
  <c r="G128" i="95" s="1"/>
  <c r="G112" i="95"/>
  <c r="I135" i="95"/>
  <c r="O135" i="95" s="1"/>
  <c r="J120" i="95"/>
  <c r="I136" i="95"/>
  <c r="O136" i="95" s="1"/>
  <c r="J121" i="95"/>
  <c r="L121" i="95" s="1"/>
  <c r="M121" i="95" s="1"/>
  <c r="I137" i="95"/>
  <c r="O137" i="95" s="1"/>
  <c r="O122" i="95"/>
  <c r="O142" i="95"/>
  <c r="J142" i="95"/>
  <c r="L142" i="95" s="1"/>
  <c r="J143" i="95"/>
  <c r="L143" i="95" s="1"/>
  <c r="M143" i="95" s="1"/>
  <c r="O143" i="95"/>
  <c r="O144" i="95"/>
  <c r="J144" i="95"/>
  <c r="L144" i="95" s="1"/>
  <c r="O147" i="95"/>
  <c r="J147" i="95"/>
  <c r="O155" i="95"/>
  <c r="J155" i="95"/>
  <c r="L155" i="95" s="1"/>
  <c r="M155" i="95" s="1"/>
  <c r="O156" i="95"/>
  <c r="J156" i="95"/>
  <c r="O164" i="95"/>
  <c r="J164" i="95"/>
  <c r="L164" i="95" s="1"/>
  <c r="M164" i="95" s="1"/>
  <c r="J57" i="95"/>
  <c r="L57" i="95" s="1"/>
  <c r="E30" i="123"/>
  <c r="E28" i="96"/>
  <c r="O57" i="95"/>
  <c r="J105" i="95"/>
  <c r="L105" i="95" s="1"/>
  <c r="M105" i="95" s="1"/>
  <c r="E46" i="123"/>
  <c r="E44" i="96"/>
  <c r="K11" i="94"/>
  <c r="L100" i="95"/>
  <c r="K16" i="94"/>
  <c r="B20" i="141"/>
  <c r="C18" i="141"/>
  <c r="C20" i="141" s="1"/>
  <c r="O30" i="95"/>
  <c r="E14" i="123"/>
  <c r="E14" i="96"/>
  <c r="I56" i="95"/>
  <c r="E21" i="123"/>
  <c r="L111" i="95"/>
  <c r="M111" i="95" s="1"/>
  <c r="J153" i="95"/>
  <c r="L153" i="95" s="1"/>
  <c r="M153" i="95" s="1"/>
  <c r="J162" i="95"/>
  <c r="L162" i="95" s="1"/>
  <c r="M162" i="95" s="1"/>
  <c r="L147" i="95"/>
  <c r="M147" i="95" s="1"/>
  <c r="L156" i="95"/>
  <c r="M156" i="95" s="1"/>
  <c r="E37" i="96"/>
  <c r="L19" i="95"/>
  <c r="M19" i="95" s="1"/>
  <c r="J117" i="95"/>
  <c r="L117" i="95" s="1"/>
  <c r="M117" i="95" s="1"/>
  <c r="J127" i="95"/>
  <c r="I134" i="95"/>
  <c r="J134" i="95" s="1"/>
  <c r="L134" i="95" s="1"/>
  <c r="E38" i="96"/>
  <c r="P22" i="116"/>
  <c r="P25" i="116"/>
  <c r="D34" i="93"/>
  <c r="O45" i="95"/>
  <c r="E22" i="123"/>
  <c r="O95" i="95"/>
  <c r="O117" i="95"/>
  <c r="O90" i="95"/>
  <c r="E36" i="123"/>
  <c r="G108" i="95"/>
  <c r="J145" i="95"/>
  <c r="L145" i="95" s="1"/>
  <c r="M145" i="95" s="1"/>
  <c r="J157" i="95"/>
  <c r="L157" i="95" s="1"/>
  <c r="M157" i="95" s="1"/>
  <c r="E173" i="95"/>
  <c r="E206" i="95"/>
  <c r="M142" i="95"/>
  <c r="J23" i="95"/>
  <c r="E172" i="95"/>
  <c r="D19" i="109"/>
  <c r="J82" i="95"/>
  <c r="L82" i="95" s="1"/>
  <c r="M82" i="95" s="1"/>
  <c r="G113" i="95"/>
  <c r="O121" i="95"/>
  <c r="J151" i="95"/>
  <c r="J154" i="95"/>
  <c r="L154" i="95" s="1"/>
  <c r="M154" i="95" s="1"/>
  <c r="J163" i="95"/>
  <c r="L163" i="95" s="1"/>
  <c r="M163" i="95" s="1"/>
  <c r="E174" i="95"/>
  <c r="E207" i="95"/>
  <c r="L120" i="95"/>
  <c r="M120" i="95" s="1"/>
  <c r="K14" i="94"/>
  <c r="E14" i="94" s="1"/>
  <c r="E16" i="19" s="1"/>
  <c r="B18" i="142" s="1"/>
  <c r="J38" i="95"/>
  <c r="H16" i="94" s="1"/>
  <c r="L59" i="95"/>
  <c r="M59" i="95" s="1"/>
  <c r="I106" i="95"/>
  <c r="J118" i="95"/>
  <c r="L118" i="95" s="1"/>
  <c r="M118" i="95" s="1"/>
  <c r="E191" i="95"/>
  <c r="B20" i="144"/>
  <c r="D20" i="144" s="1"/>
  <c r="J24" i="95"/>
  <c r="L24" i="95" s="1"/>
  <c r="M24" i="95" s="1"/>
  <c r="E10" i="123"/>
  <c r="E39" i="95"/>
  <c r="G39" i="95" s="1"/>
  <c r="I83" i="95"/>
  <c r="J83" i="95" s="1"/>
  <c r="L83" i="95" s="1"/>
  <c r="G122" i="95"/>
  <c r="L122" i="95" s="1"/>
  <c r="O94" i="95"/>
  <c r="E39" i="123"/>
  <c r="E6" i="144"/>
  <c r="E8" i="144" s="1"/>
  <c r="O59" i="95"/>
  <c r="E32" i="123"/>
  <c r="E30" i="96"/>
  <c r="M70" i="95"/>
  <c r="J88" i="95"/>
  <c r="J11" i="94" s="1"/>
  <c r="J94" i="95"/>
  <c r="L94" i="95" s="1"/>
  <c r="M94" i="95" s="1"/>
  <c r="J119" i="95"/>
  <c r="L119" i="95" s="1"/>
  <c r="M119" i="95" s="1"/>
  <c r="M144" i="95"/>
  <c r="J146" i="95"/>
  <c r="J152" i="95"/>
  <c r="L152" i="95" s="1"/>
  <c r="M152" i="95" s="1"/>
  <c r="J161" i="95"/>
  <c r="E10" i="96"/>
  <c r="I15" i="95"/>
  <c r="J15" i="95" s="1"/>
  <c r="L15" i="95" s="1"/>
  <c r="M15" i="95" s="1"/>
  <c r="G85" i="95"/>
  <c r="E20" i="96"/>
  <c r="I75" i="97"/>
  <c r="I37" i="97"/>
  <c r="G16" i="95"/>
  <c r="G170" i="95" s="1"/>
  <c r="J14" i="95"/>
  <c r="O14" i="95"/>
  <c r="L28" i="95"/>
  <c r="J35" i="95"/>
  <c r="L35" i="95" s="1"/>
  <c r="M35" i="95" s="1"/>
  <c r="L34" i="95"/>
  <c r="M34" i="95" s="1"/>
  <c r="M45" i="95"/>
  <c r="G139" i="95"/>
  <c r="G31" i="95"/>
  <c r="M31" i="95" s="1"/>
  <c r="O28" i="95"/>
  <c r="G11" i="94"/>
  <c r="G23" i="95"/>
  <c r="L23" i="95" s="1"/>
  <c r="M57" i="95"/>
  <c r="J10" i="95"/>
  <c r="L10" i="95" s="1"/>
  <c r="M10" i="95" s="1"/>
  <c r="M28" i="95"/>
  <c r="I29" i="95"/>
  <c r="J30" i="95"/>
  <c r="L30" i="95" s="1"/>
  <c r="J39" i="95"/>
  <c r="L39" i="95" s="1"/>
  <c r="M39" i="95" s="1"/>
  <c r="I43" i="95"/>
  <c r="E20" i="123" s="1"/>
  <c r="I20" i="123" s="1"/>
  <c r="K20" i="123" s="1"/>
  <c r="J44" i="95"/>
  <c r="L44" i="95" s="1"/>
  <c r="E190" i="95"/>
  <c r="E51" i="95"/>
  <c r="J50" i="95"/>
  <c r="I51" i="95"/>
  <c r="O51" i="95" s="1"/>
  <c r="J63" i="95"/>
  <c r="E187" i="95"/>
  <c r="E194" i="95" s="1"/>
  <c r="G63" i="95"/>
  <c r="O81" i="95"/>
  <c r="J81" i="95"/>
  <c r="L81" i="95" s="1"/>
  <c r="M81" i="95" s="1"/>
  <c r="M83" i="95"/>
  <c r="O105" i="95"/>
  <c r="M134" i="95"/>
  <c r="O34" i="95"/>
  <c r="I112" i="95"/>
  <c r="I77" i="95"/>
  <c r="I89" i="95"/>
  <c r="J64" i="95"/>
  <c r="L64" i="95" s="1"/>
  <c r="M64" i="95" s="1"/>
  <c r="J133" i="95"/>
  <c r="L133" i="95" s="1"/>
  <c r="M133" i="95" s="1"/>
  <c r="O133" i="95"/>
  <c r="J135" i="95"/>
  <c r="L135" i="95" s="1"/>
  <c r="M135" i="95" s="1"/>
  <c r="J9" i="95"/>
  <c r="M44" i="95"/>
  <c r="O83" i="95"/>
  <c r="O134" i="95"/>
  <c r="O9" i="95"/>
  <c r="L161" i="95"/>
  <c r="J165" i="95"/>
  <c r="O24" i="95"/>
  <c r="I40" i="95"/>
  <c r="G38" i="95"/>
  <c r="L65" i="95"/>
  <c r="M65" i="95" s="1"/>
  <c r="G176" i="95"/>
  <c r="J69" i="95"/>
  <c r="L69" i="95" s="1"/>
  <c r="M69" i="95" s="1"/>
  <c r="J76" i="95"/>
  <c r="G88" i="95"/>
  <c r="J90" i="95"/>
  <c r="L90" i="95" s="1"/>
  <c r="M90" i="95" s="1"/>
  <c r="M100" i="95"/>
  <c r="O118" i="95"/>
  <c r="O120" i="95"/>
  <c r="J132" i="95"/>
  <c r="L132" i="95" s="1"/>
  <c r="M132" i="95" s="1"/>
  <c r="J136" i="95"/>
  <c r="L136" i="95" s="1"/>
  <c r="M136" i="95" s="1"/>
  <c r="J137" i="95"/>
  <c r="L137" i="95" s="1"/>
  <c r="M137" i="95" s="1"/>
  <c r="L146" i="95"/>
  <c r="L151" i="95"/>
  <c r="E205" i="95"/>
  <c r="E210" i="95" s="1"/>
  <c r="O69" i="95"/>
  <c r="C25" i="93"/>
  <c r="A25" i="93"/>
  <c r="E25" i="93"/>
  <c r="C16" i="105" s="1"/>
  <c r="C20" i="105" s="1"/>
  <c r="F10" i="103" s="1"/>
  <c r="E34" i="93"/>
  <c r="D26" i="93"/>
  <c r="D35" i="93"/>
  <c r="C14" i="93"/>
  <c r="M146" i="95" l="1"/>
  <c r="L148" i="95"/>
  <c r="M148" i="95" s="1"/>
  <c r="D6" i="144"/>
  <c r="D8" i="144" s="1"/>
  <c r="O16" i="94"/>
  <c r="O11" i="94"/>
  <c r="L95" i="95"/>
  <c r="M95" i="95" s="1"/>
  <c r="L71" i="95"/>
  <c r="M71" i="95" s="1"/>
  <c r="C18" i="142"/>
  <c r="B20" i="142"/>
  <c r="D26" i="116"/>
  <c r="O26" i="116"/>
  <c r="L26" i="116"/>
  <c r="F26" i="116"/>
  <c r="G26" i="116"/>
  <c r="I26" i="116"/>
  <c r="H26" i="116"/>
  <c r="M26" i="116"/>
  <c r="K26" i="116"/>
  <c r="N26" i="116"/>
  <c r="E26" i="116"/>
  <c r="J26" i="116"/>
  <c r="M23" i="116"/>
  <c r="M11" i="115" s="1"/>
  <c r="M13" i="115" s="1"/>
  <c r="M17" i="115" s="1"/>
  <c r="M29" i="115" s="1"/>
  <c r="F23" i="116"/>
  <c r="F11" i="115" s="1"/>
  <c r="F13" i="115" s="1"/>
  <c r="F17" i="115" s="1"/>
  <c r="F29" i="115" s="1"/>
  <c r="D23" i="116"/>
  <c r="O23" i="116"/>
  <c r="O11" i="115" s="1"/>
  <c r="O13" i="115" s="1"/>
  <c r="O17" i="115" s="1"/>
  <c r="O29" i="115" s="1"/>
  <c r="K23" i="116"/>
  <c r="K11" i="115" s="1"/>
  <c r="J23" i="116"/>
  <c r="J11" i="115" s="1"/>
  <c r="E23" i="116"/>
  <c r="E11" i="115" s="1"/>
  <c r="E13" i="115" s="1"/>
  <c r="E17" i="115" s="1"/>
  <c r="E29" i="115" s="1"/>
  <c r="N23" i="116"/>
  <c r="N11" i="115" s="1"/>
  <c r="N13" i="115" s="1"/>
  <c r="N17" i="115" s="1"/>
  <c r="N29" i="115" s="1"/>
  <c r="G23" i="116"/>
  <c r="G11" i="115" s="1"/>
  <c r="G13" i="115" s="1"/>
  <c r="G17" i="115" s="1"/>
  <c r="G29" i="115" s="1"/>
  <c r="H23" i="116"/>
  <c r="H11" i="115" s="1"/>
  <c r="H13" i="115" s="1"/>
  <c r="H17" i="115" s="1"/>
  <c r="H29" i="115" s="1"/>
  <c r="I23" i="116"/>
  <c r="I11" i="115" s="1"/>
  <c r="I13" i="115" s="1"/>
  <c r="I17" i="115" s="1"/>
  <c r="I29" i="115" s="1"/>
  <c r="L23" i="116"/>
  <c r="L11" i="115" s="1"/>
  <c r="L13" i="115" s="1"/>
  <c r="L17" i="115" s="1"/>
  <c r="L29" i="115" s="1"/>
  <c r="J25" i="95"/>
  <c r="E14" i="109" s="1"/>
  <c r="G14" i="109" s="1"/>
  <c r="O56" i="95"/>
  <c r="E29" i="123"/>
  <c r="E27" i="96"/>
  <c r="J56" i="95"/>
  <c r="L56" i="95" s="1"/>
  <c r="M56" i="95" s="1"/>
  <c r="E13" i="123"/>
  <c r="E13" i="96"/>
  <c r="D10" i="103"/>
  <c r="E12" i="103" s="1"/>
  <c r="E16" i="103" s="1"/>
  <c r="D32" i="19" s="1"/>
  <c r="F12" i="103"/>
  <c r="F16" i="103" s="1"/>
  <c r="E32" i="19" s="1"/>
  <c r="O106" i="95"/>
  <c r="E47" i="123"/>
  <c r="E45" i="96"/>
  <c r="J106" i="95"/>
  <c r="L106" i="95" s="1"/>
  <c r="M106" i="95" s="1"/>
  <c r="L127" i="95"/>
  <c r="M127" i="95" s="1"/>
  <c r="P16" i="94"/>
  <c r="P11" i="94"/>
  <c r="E35" i="123"/>
  <c r="E33" i="96"/>
  <c r="J16" i="94"/>
  <c r="D29" i="109"/>
  <c r="G124" i="95"/>
  <c r="G175" i="95" s="1"/>
  <c r="E179" i="95"/>
  <c r="O15" i="95"/>
  <c r="J148" i="95"/>
  <c r="M122" i="95"/>
  <c r="C6" i="142"/>
  <c r="C8" i="142" s="1"/>
  <c r="C12" i="142" s="1"/>
  <c r="C16" i="142" s="1"/>
  <c r="C20" i="142" s="1"/>
  <c r="G16" i="94"/>
  <c r="L88" i="95"/>
  <c r="J158" i="95"/>
  <c r="J176" i="95" s="1"/>
  <c r="L176" i="95" s="1"/>
  <c r="M176" i="95" s="1"/>
  <c r="E17" i="123"/>
  <c r="E17" i="96"/>
  <c r="L113" i="95"/>
  <c r="M113" i="95" s="1"/>
  <c r="J112" i="95"/>
  <c r="I128" i="95"/>
  <c r="O112" i="95"/>
  <c r="J73" i="95"/>
  <c r="E21" i="109" s="1"/>
  <c r="G21" i="109" s="1"/>
  <c r="O21" i="109" s="1"/>
  <c r="L63" i="95"/>
  <c r="M16" i="94"/>
  <c r="M11" i="94"/>
  <c r="J51" i="95"/>
  <c r="G51" i="95"/>
  <c r="G97" i="95"/>
  <c r="M88" i="95"/>
  <c r="J40" i="95"/>
  <c r="L40" i="95" s="1"/>
  <c r="M40" i="95" s="1"/>
  <c r="I52" i="95"/>
  <c r="O40" i="95"/>
  <c r="L9" i="95"/>
  <c r="D16" i="94"/>
  <c r="J11" i="95"/>
  <c r="D11" i="94"/>
  <c r="I101" i="95"/>
  <c r="O89" i="95"/>
  <c r="J89" i="95"/>
  <c r="M63" i="95"/>
  <c r="G73" i="95"/>
  <c r="J29" i="95"/>
  <c r="O29" i="95"/>
  <c r="N16" i="94"/>
  <c r="N11" i="94"/>
  <c r="L76" i="95"/>
  <c r="M76" i="95" s="1"/>
  <c r="M161" i="95"/>
  <c r="L165" i="95"/>
  <c r="M165" i="95" s="1"/>
  <c r="J77" i="95"/>
  <c r="L77" i="95" s="1"/>
  <c r="M77" i="95" s="1"/>
  <c r="O77" i="95"/>
  <c r="L50" i="95"/>
  <c r="M50" i="95" s="1"/>
  <c r="I16" i="94"/>
  <c r="I55" i="95"/>
  <c r="O43" i="95"/>
  <c r="G25" i="95"/>
  <c r="M23" i="95"/>
  <c r="H11" i="94"/>
  <c r="J47" i="95"/>
  <c r="E18" i="109" s="1"/>
  <c r="G18" i="109" s="1"/>
  <c r="O18" i="109" s="1"/>
  <c r="M151" i="95"/>
  <c r="L158" i="95"/>
  <c r="M158" i="95" s="1"/>
  <c r="G47" i="95"/>
  <c r="L38" i="95"/>
  <c r="M38" i="95" s="1"/>
  <c r="J16" i="95"/>
  <c r="L16" i="95" s="1"/>
  <c r="M16" i="95" s="1"/>
  <c r="L14" i="95"/>
  <c r="M14" i="95" s="1"/>
  <c r="G10" i="94"/>
  <c r="L25" i="95"/>
  <c r="C26" i="93"/>
  <c r="A26" i="93"/>
  <c r="D27" i="93"/>
  <c r="D37" i="93" s="1"/>
  <c r="D36" i="93"/>
  <c r="D20" i="19" s="1"/>
  <c r="E26" i="93"/>
  <c r="E35" i="93"/>
  <c r="E12" i="109" l="1"/>
  <c r="K13" i="115"/>
  <c r="K17" i="115" s="1"/>
  <c r="K29" i="115" s="1"/>
  <c r="L51" i="95"/>
  <c r="E43" i="123"/>
  <c r="E41" i="96"/>
  <c r="D11" i="115"/>
  <c r="P23" i="116"/>
  <c r="J28" i="128"/>
  <c r="J27" i="97"/>
  <c r="J28" i="127"/>
  <c r="G12" i="109"/>
  <c r="O12" i="109" s="1"/>
  <c r="E31" i="109"/>
  <c r="O31" i="109" s="1"/>
  <c r="O14" i="109"/>
  <c r="G16" i="109"/>
  <c r="O16" i="109" s="1"/>
  <c r="P26" i="116"/>
  <c r="O55" i="95"/>
  <c r="E28" i="123"/>
  <c r="I28" i="123" s="1"/>
  <c r="K28" i="123" s="1"/>
  <c r="E25" i="123"/>
  <c r="E24" i="96"/>
  <c r="J13" i="115"/>
  <c r="J17" i="115" s="1"/>
  <c r="J47" i="97"/>
  <c r="J48" i="128"/>
  <c r="J48" i="127"/>
  <c r="J85" i="95"/>
  <c r="E22" i="109" s="1"/>
  <c r="G22" i="109" s="1"/>
  <c r="O22" i="109" s="1"/>
  <c r="E16" i="94"/>
  <c r="G173" i="95"/>
  <c r="O101" i="95"/>
  <c r="J101" i="95"/>
  <c r="L11" i="95"/>
  <c r="M9" i="95"/>
  <c r="L73" i="95"/>
  <c r="M73" i="95" s="1"/>
  <c r="M10" i="94"/>
  <c r="G174" i="95"/>
  <c r="G12" i="94"/>
  <c r="L47" i="95"/>
  <c r="M47" i="95" s="1"/>
  <c r="H10" i="94"/>
  <c r="H12" i="94" s="1"/>
  <c r="I11" i="94"/>
  <c r="E11" i="94" s="1"/>
  <c r="L29" i="95"/>
  <c r="J31" i="95"/>
  <c r="M51" i="95"/>
  <c r="G60" i="95"/>
  <c r="L112" i="95"/>
  <c r="M112" i="95" s="1"/>
  <c r="J124" i="95"/>
  <c r="E27" i="109" s="1"/>
  <c r="G27" i="109" s="1"/>
  <c r="O27" i="109" s="1"/>
  <c r="L85" i="95"/>
  <c r="M85" i="95" s="1"/>
  <c r="Q145" i="95"/>
  <c r="G171" i="95"/>
  <c r="M25" i="95"/>
  <c r="L89" i="95"/>
  <c r="M89" i="95" s="1"/>
  <c r="J97" i="95"/>
  <c r="E24" i="109" s="1"/>
  <c r="G24" i="109" s="1"/>
  <c r="O24" i="109" s="1"/>
  <c r="J170" i="95"/>
  <c r="D10" i="94"/>
  <c r="D12" i="94" s="1"/>
  <c r="D19" i="94" s="1"/>
  <c r="J52" i="95"/>
  <c r="O52" i="95"/>
  <c r="J128" i="95"/>
  <c r="O128" i="95"/>
  <c r="C27" i="93"/>
  <c r="A27" i="93"/>
  <c r="E27" i="93"/>
  <c r="E37" i="93" s="1"/>
  <c r="E36" i="93"/>
  <c r="E20" i="19" s="1"/>
  <c r="J14" i="127" l="1"/>
  <c r="J14" i="128"/>
  <c r="J13" i="97"/>
  <c r="J11" i="97"/>
  <c r="J12" i="128"/>
  <c r="J12" i="127"/>
  <c r="J57" i="128"/>
  <c r="J57" i="127"/>
  <c r="L57" i="127" s="1"/>
  <c r="J56" i="97"/>
  <c r="J58" i="97" s="1"/>
  <c r="J59" i="128"/>
  <c r="J29" i="115"/>
  <c r="J66" i="97"/>
  <c r="J67" i="128"/>
  <c r="J67" i="127"/>
  <c r="P11" i="115"/>
  <c r="D13" i="115"/>
  <c r="N10" i="94"/>
  <c r="N12" i="94" s="1"/>
  <c r="J173" i="95"/>
  <c r="L173" i="95" s="1"/>
  <c r="M173" i="95" s="1"/>
  <c r="J89" i="127"/>
  <c r="J88" i="97"/>
  <c r="J89" i="128"/>
  <c r="L48" i="127"/>
  <c r="J19" i="128"/>
  <c r="J18" i="97"/>
  <c r="J19" i="127"/>
  <c r="L128" i="95"/>
  <c r="M128" i="95" s="1"/>
  <c r="J139" i="95"/>
  <c r="E28" i="109" s="1"/>
  <c r="L170" i="95"/>
  <c r="M170" i="95" s="1"/>
  <c r="L124" i="95"/>
  <c r="O10" i="94"/>
  <c r="O12" i="94" s="1"/>
  <c r="C10" i="144" s="1"/>
  <c r="L31" i="95"/>
  <c r="Q26" i="95" s="1"/>
  <c r="J171" i="95"/>
  <c r="L171" i="95" s="1"/>
  <c r="Q12" i="95"/>
  <c r="M11" i="95"/>
  <c r="L52" i="95"/>
  <c r="M52" i="95" s="1"/>
  <c r="J60" i="95"/>
  <c r="E19" i="109" s="1"/>
  <c r="J108" i="95"/>
  <c r="E25" i="109" s="1"/>
  <c r="G25" i="109" s="1"/>
  <c r="O25" i="109" s="1"/>
  <c r="L101" i="95"/>
  <c r="G172" i="95"/>
  <c r="G179" i="95" s="1"/>
  <c r="Q66" i="95"/>
  <c r="M171" i="95"/>
  <c r="L97" i="95"/>
  <c r="J10" i="94"/>
  <c r="J12" i="94" s="1"/>
  <c r="M12" i="94"/>
  <c r="A28" i="93"/>
  <c r="A29" i="93" s="1"/>
  <c r="G28" i="109" l="1"/>
  <c r="O28" i="109" s="1"/>
  <c r="G19" i="109"/>
  <c r="O19" i="109" s="1"/>
  <c r="E29" i="109"/>
  <c r="G29" i="109" s="1"/>
  <c r="C12" i="144"/>
  <c r="C14" i="144" s="1"/>
  <c r="C18" i="144" s="1"/>
  <c r="C22" i="144" s="1"/>
  <c r="E10" i="144"/>
  <c r="E12" i="144" s="1"/>
  <c r="E14" i="144" s="1"/>
  <c r="E18" i="144" s="1"/>
  <c r="E22" i="144" s="1"/>
  <c r="J74" i="128"/>
  <c r="J76" i="128" s="1"/>
  <c r="J73" i="97"/>
  <c r="J75" i="97" s="1"/>
  <c r="J74" i="127"/>
  <c r="B10" i="144"/>
  <c r="J59" i="127"/>
  <c r="L59" i="127" s="1"/>
  <c r="J20" i="97"/>
  <c r="L89" i="127"/>
  <c r="D17" i="115"/>
  <c r="P13" i="115"/>
  <c r="J21" i="128"/>
  <c r="J76" i="127"/>
  <c r="J174" i="95"/>
  <c r="L174" i="95" s="1"/>
  <c r="M174" i="95" s="1"/>
  <c r="J21" i="127"/>
  <c r="M97" i="95"/>
  <c r="I10" i="94"/>
  <c r="L60" i="95"/>
  <c r="J172" i="95"/>
  <c r="L172" i="95" s="1"/>
  <c r="M172" i="95" s="1"/>
  <c r="M124" i="95"/>
  <c r="L139" i="95"/>
  <c r="M139" i="95" s="1"/>
  <c r="P10" i="94"/>
  <c r="P12" i="94" s="1"/>
  <c r="D21" i="94" s="1"/>
  <c r="L108" i="95"/>
  <c r="K10" i="94"/>
  <c r="K12" i="94" s="1"/>
  <c r="J175" i="95"/>
  <c r="L175" i="95" s="1"/>
  <c r="M175" i="95" s="1"/>
  <c r="C31" i="93"/>
  <c r="A30" i="93"/>
  <c r="A31" i="93" s="1"/>
  <c r="M108" i="95" l="1"/>
  <c r="Q91" i="95"/>
  <c r="J101" i="128"/>
  <c r="J103" i="128" s="1"/>
  <c r="J100" i="97"/>
  <c r="J102" i="97" s="1"/>
  <c r="J101" i="127"/>
  <c r="D29" i="115"/>
  <c r="P29" i="115" s="1"/>
  <c r="P17" i="115"/>
  <c r="J36" i="128"/>
  <c r="J36" i="127"/>
  <c r="J35" i="97"/>
  <c r="O29" i="109"/>
  <c r="B12" i="144"/>
  <c r="B14" i="144" s="1"/>
  <c r="B18" i="144" s="1"/>
  <c r="B22" i="144" s="1"/>
  <c r="D10" i="144"/>
  <c r="D12" i="144" s="1"/>
  <c r="D14" i="144" s="1"/>
  <c r="D18" i="144" s="1"/>
  <c r="D22" i="144" s="1"/>
  <c r="Q114" i="95"/>
  <c r="I12" i="94"/>
  <c r="E10" i="94"/>
  <c r="J179" i="95"/>
  <c r="L179" i="95" s="1"/>
  <c r="M179" i="95" s="1"/>
  <c r="Q41" i="95"/>
  <c r="M60" i="95"/>
  <c r="A32" i="93"/>
  <c r="A33" i="93" s="1"/>
  <c r="A34" i="93" s="1"/>
  <c r="A35" i="93" s="1"/>
  <c r="A36" i="93" s="1"/>
  <c r="A37" i="93" s="1"/>
  <c r="A38" i="93" s="1"/>
  <c r="A39" i="93" s="1"/>
  <c r="A40" i="93" s="1"/>
  <c r="C34" i="93"/>
  <c r="C35" i="93"/>
  <c r="C36" i="93"/>
  <c r="C37" i="93"/>
  <c r="J38" i="127" l="1"/>
  <c r="J105" i="127"/>
  <c r="J38" i="128"/>
  <c r="J105" i="128"/>
  <c r="L101" i="127"/>
  <c r="J103" i="127"/>
  <c r="L103" i="127" s="1"/>
  <c r="J37" i="97"/>
  <c r="J104" i="97"/>
  <c r="E12" i="94"/>
  <c r="D20" i="94" s="1"/>
  <c r="A11" i="92" l="1"/>
  <c r="A12" i="92" s="1"/>
  <c r="A13" i="92" s="1"/>
  <c r="A14" i="92" s="1"/>
  <c r="A15" i="92" s="1"/>
  <c r="A16" i="92" s="1"/>
  <c r="A17" i="92" s="1"/>
  <c r="A18" i="92" s="1"/>
  <c r="A19" i="92" s="1"/>
  <c r="A20" i="92" s="1"/>
  <c r="A21" i="92" s="1"/>
  <c r="A22" i="92" s="1"/>
  <c r="A23" i="92" s="1"/>
  <c r="A24" i="92" s="1"/>
  <c r="A25" i="92" s="1"/>
  <c r="A26" i="92" s="1"/>
  <c r="A27" i="92" s="1"/>
  <c r="A28" i="92" s="1"/>
  <c r="A29" i="92" s="1"/>
  <c r="A30" i="92" s="1"/>
  <c r="A31" i="92" s="1"/>
  <c r="A32" i="92" s="1"/>
  <c r="A33" i="92" s="1"/>
  <c r="A34" i="92" s="1"/>
  <c r="A35" i="92" s="1"/>
  <c r="A36" i="92" s="1"/>
  <c r="A37" i="92" s="1"/>
  <c r="A38" i="92" s="1"/>
  <c r="A39" i="92" s="1"/>
  <c r="A40" i="92" s="1"/>
  <c r="A41" i="92" s="1"/>
  <c r="A42" i="92" s="1"/>
  <c r="A43" i="92" s="1"/>
  <c r="A44" i="92" s="1"/>
  <c r="A45" i="92" s="1"/>
  <c r="A46" i="92" s="1"/>
  <c r="A47" i="92" s="1"/>
  <c r="A48" i="92" s="1"/>
  <c r="A49" i="92" s="1"/>
  <c r="A50" i="92" s="1"/>
  <c r="A51" i="92" s="1"/>
  <c r="A52" i="92" s="1"/>
  <c r="A53" i="92" s="1"/>
  <c r="A54" i="92" s="1"/>
  <c r="A55" i="92" s="1"/>
  <c r="A56" i="92" s="1"/>
  <c r="A57" i="92" s="1"/>
  <c r="A58" i="92" s="1"/>
  <c r="A59" i="92" s="1"/>
  <c r="A60" i="92" s="1"/>
  <c r="A61" i="92" s="1"/>
  <c r="A62" i="92" s="1"/>
  <c r="A63" i="92" s="1"/>
  <c r="A64" i="92" s="1"/>
  <c r="A65" i="92" s="1"/>
  <c r="A66" i="92" s="1"/>
  <c r="A67" i="92" s="1"/>
  <c r="A68" i="92" s="1"/>
  <c r="A69" i="92" s="1"/>
  <c r="A70" i="92" s="1"/>
  <c r="A71" i="92" s="1"/>
  <c r="A72" i="92" s="1"/>
  <c r="A73" i="92" s="1"/>
  <c r="A74" i="92" s="1"/>
  <c r="A75" i="92" s="1"/>
  <c r="A76" i="92" s="1"/>
  <c r="A77" i="92" s="1"/>
  <c r="A78" i="92" s="1"/>
  <c r="A79" i="92" s="1"/>
  <c r="A80" i="92" s="1"/>
  <c r="A81" i="92" s="1"/>
  <c r="A82" i="92" s="1"/>
  <c r="A83" i="92" s="1"/>
  <c r="A84" i="92" s="1"/>
  <c r="A85" i="92" s="1"/>
  <c r="A86" i="92" s="1"/>
  <c r="A87" i="92" s="1"/>
  <c r="A88" i="92" s="1"/>
  <c r="A89" i="92" s="1"/>
  <c r="A90" i="92" s="1"/>
  <c r="A91" i="92" s="1"/>
  <c r="A92" i="92" s="1"/>
  <c r="A93" i="92" s="1"/>
  <c r="A94" i="92" s="1"/>
  <c r="D32" i="91" l="1"/>
  <c r="D33" i="91" s="1"/>
  <c r="G31" i="91"/>
  <c r="G30" i="91"/>
  <c r="G29" i="91"/>
  <c r="H27" i="91"/>
  <c r="E27" i="91"/>
  <c r="G25" i="91"/>
  <c r="H25" i="91" s="1"/>
  <c r="E25" i="91"/>
  <c r="D39" i="91"/>
  <c r="G21" i="91"/>
  <c r="G19" i="91"/>
  <c r="G18" i="91"/>
  <c r="G17" i="91"/>
  <c r="D14" i="91"/>
  <c r="G13" i="91"/>
  <c r="H13" i="91" s="1"/>
  <c r="E13" i="91"/>
  <c r="G12" i="91"/>
  <c r="G14" i="91" s="1"/>
  <c r="E12" i="91"/>
  <c r="E14" i="91" s="1"/>
  <c r="H12" i="91" l="1"/>
  <c r="H14" i="91" s="1"/>
  <c r="G32" i="91"/>
  <c r="H32" i="91" s="1"/>
  <c r="E32" i="91"/>
  <c r="E33" i="91" s="1"/>
  <c r="E35" i="91" s="1"/>
  <c r="A2" i="63" l="1"/>
  <c r="E30" i="86" l="1"/>
  <c r="B18" i="86"/>
  <c r="D16" i="63" s="1"/>
  <c r="E25" i="86" l="1"/>
  <c r="E36" i="86" l="1"/>
  <c r="D10" i="63" s="1"/>
  <c r="E16" i="63" l="1"/>
  <c r="B24" i="86"/>
  <c r="P38" i="85" l="1"/>
  <c r="O37" i="85"/>
  <c r="N37" i="85"/>
  <c r="M37" i="85"/>
  <c r="L37" i="85"/>
  <c r="K37" i="85"/>
  <c r="J37" i="85"/>
  <c r="I37" i="85"/>
  <c r="H37" i="85"/>
  <c r="G37" i="85"/>
  <c r="F37" i="85"/>
  <c r="E37" i="85"/>
  <c r="D37" i="85"/>
  <c r="D27" i="85"/>
  <c r="O22" i="85"/>
  <c r="N22" i="85"/>
  <c r="M22" i="85"/>
  <c r="L22" i="85"/>
  <c r="K22" i="85"/>
  <c r="J22" i="85"/>
  <c r="I22" i="85"/>
  <c r="H22" i="85"/>
  <c r="G22" i="85"/>
  <c r="F22" i="85"/>
  <c r="E22" i="85"/>
  <c r="D22" i="85"/>
  <c r="E7" i="85"/>
  <c r="E27" i="85" s="1"/>
  <c r="G62" i="84"/>
  <c r="F62" i="84"/>
  <c r="E62" i="84"/>
  <c r="D62" i="84"/>
  <c r="D63" i="84" s="1"/>
  <c r="E57" i="84" s="1"/>
  <c r="G53" i="84"/>
  <c r="F53" i="84"/>
  <c r="E53" i="84"/>
  <c r="D53" i="84"/>
  <c r="D54" i="84" s="1"/>
  <c r="E49" i="84" s="1"/>
  <c r="G45" i="84"/>
  <c r="F45" i="84"/>
  <c r="E45" i="84"/>
  <c r="D45" i="84"/>
  <c r="D46" i="84" s="1"/>
  <c r="E40" i="84" s="1"/>
  <c r="G36" i="84"/>
  <c r="F36" i="84"/>
  <c r="E36" i="84"/>
  <c r="D36" i="84"/>
  <c r="D37" i="84" s="1"/>
  <c r="E32" i="84" s="1"/>
  <c r="O20" i="84"/>
  <c r="N20" i="84"/>
  <c r="M20" i="84"/>
  <c r="L20" i="84"/>
  <c r="K20" i="84"/>
  <c r="J20" i="84"/>
  <c r="I20" i="84"/>
  <c r="H20" i="84"/>
  <c r="G20" i="84"/>
  <c r="F20" i="84"/>
  <c r="E20" i="84"/>
  <c r="D20" i="84"/>
  <c r="D21" i="84" s="1"/>
  <c r="E17" i="84" s="1"/>
  <c r="O13" i="84"/>
  <c r="N13" i="84"/>
  <c r="M13" i="84"/>
  <c r="L13" i="84"/>
  <c r="K13" i="84"/>
  <c r="J13" i="84"/>
  <c r="I13" i="84"/>
  <c r="H13" i="84"/>
  <c r="G13" i="84"/>
  <c r="F13" i="84"/>
  <c r="E13" i="84"/>
  <c r="D13" i="84"/>
  <c r="D67" i="84" l="1"/>
  <c r="F67" i="84"/>
  <c r="E67" i="84"/>
  <c r="G67" i="84"/>
  <c r="E21" i="84"/>
  <c r="F17" i="84" s="1"/>
  <c r="F21" i="84" s="1"/>
  <c r="G17" i="84" s="1"/>
  <c r="G21" i="84" s="1"/>
  <c r="H17" i="84" s="1"/>
  <c r="H21" i="84" s="1"/>
  <c r="I17" i="84" s="1"/>
  <c r="I21" i="84" s="1"/>
  <c r="J17" i="84" s="1"/>
  <c r="J21" i="84" s="1"/>
  <c r="K17" i="84" s="1"/>
  <c r="K21" i="84" s="1"/>
  <c r="L17" i="84" s="1"/>
  <c r="L21" i="84" s="1"/>
  <c r="M17" i="84" s="1"/>
  <c r="M21" i="84" s="1"/>
  <c r="N17" i="84" s="1"/>
  <c r="N21" i="84" s="1"/>
  <c r="O17" i="84" s="1"/>
  <c r="O21" i="84" s="1"/>
  <c r="P17" i="84" s="1"/>
  <c r="P21" i="84" s="1"/>
  <c r="Q17" i="84" s="1"/>
  <c r="Q21" i="84" s="1"/>
  <c r="R17" i="84" s="1"/>
  <c r="R21" i="84" s="1"/>
  <c r="S17" i="84" s="1"/>
  <c r="S21" i="84" s="1"/>
  <c r="T17" i="84" s="1"/>
  <c r="T21" i="84" s="1"/>
  <c r="U17" i="84" s="1"/>
  <c r="U21" i="84" s="1"/>
  <c r="V17" i="84" s="1"/>
  <c r="V21" i="84" s="1"/>
  <c r="W17" i="84" s="1"/>
  <c r="W21" i="84" s="1"/>
  <c r="X17" i="84" s="1"/>
  <c r="X21" i="84" s="1"/>
  <c r="Y17" i="84" s="1"/>
  <c r="Y21" i="84" s="1"/>
  <c r="Z17" i="84" s="1"/>
  <c r="Z21" i="84" s="1"/>
  <c r="AA17" i="84" s="1"/>
  <c r="AA21" i="84" s="1"/>
  <c r="AB17" i="84" s="1"/>
  <c r="AB21" i="84" s="1"/>
  <c r="AC17" i="84" s="1"/>
  <c r="AC21" i="84" s="1"/>
  <c r="AD17" i="84" s="1"/>
  <c r="AD21" i="84" s="1"/>
  <c r="AE17" i="84" s="1"/>
  <c r="AE21" i="84" s="1"/>
  <c r="AF17" i="84" s="1"/>
  <c r="AF21" i="84" s="1"/>
  <c r="AG17" i="84" s="1"/>
  <c r="AG21" i="84" s="1"/>
  <c r="AH17" i="84" s="1"/>
  <c r="AH21" i="84" s="1"/>
  <c r="AI17" i="84" s="1"/>
  <c r="AI21" i="84" s="1"/>
  <c r="AJ17" i="84" s="1"/>
  <c r="AJ21" i="84" s="1"/>
  <c r="AK17" i="84" s="1"/>
  <c r="AK21" i="84" s="1"/>
  <c r="AL17" i="84" s="1"/>
  <c r="AL21" i="84" s="1"/>
  <c r="AM17" i="84" s="1"/>
  <c r="AM21" i="84" s="1"/>
  <c r="AN17" i="84" s="1"/>
  <c r="AN21" i="84" s="1"/>
  <c r="AO17" i="84" s="1"/>
  <c r="AO21" i="84" s="1"/>
  <c r="AP17" i="84" s="1"/>
  <c r="AP21" i="84" s="1"/>
  <c r="AQ17" i="84" s="1"/>
  <c r="AQ21" i="84" s="1"/>
  <c r="E10" i="108" s="1"/>
  <c r="E20" i="108" s="1"/>
  <c r="E37" i="84"/>
  <c r="F32" i="84" s="1"/>
  <c r="F37" i="84" s="1"/>
  <c r="G32" i="84" s="1"/>
  <c r="G37" i="84" s="1"/>
  <c r="H32" i="84" s="1"/>
  <c r="E46" i="84"/>
  <c r="F40" i="84" s="1"/>
  <c r="F46" i="84" s="1"/>
  <c r="G40" i="84" s="1"/>
  <c r="E54" i="84"/>
  <c r="F49" i="84" s="1"/>
  <c r="F54" i="84" s="1"/>
  <c r="G49" i="84" s="1"/>
  <c r="G54" i="84" s="1"/>
  <c r="H49" i="84" s="1"/>
  <c r="E63" i="84"/>
  <c r="F57" i="84" s="1"/>
  <c r="F63" i="84" s="1"/>
  <c r="G57" i="84" s="1"/>
  <c r="G63" i="84" s="1"/>
  <c r="H57" i="84" s="1"/>
  <c r="G46" i="84"/>
  <c r="H40" i="84" s="1"/>
  <c r="D14" i="84"/>
  <c r="E22" i="19"/>
  <c r="E24" i="19" s="1"/>
  <c r="P37" i="85"/>
  <c r="P22" i="85"/>
  <c r="P23" i="85"/>
  <c r="F7" i="85"/>
  <c r="E26" i="19" l="1"/>
  <c r="E10" i="84"/>
  <c r="D69" i="84"/>
  <c r="D68" i="84"/>
  <c r="D36" i="19"/>
  <c r="E36" i="19"/>
  <c r="E52" i="19" s="1"/>
  <c r="D22" i="19"/>
  <c r="D24" i="19" s="1"/>
  <c r="F27" i="85"/>
  <c r="G7" i="85"/>
  <c r="D70" i="84" l="1"/>
  <c r="E66" i="84"/>
  <c r="E14" i="84"/>
  <c r="D52" i="19"/>
  <c r="G27" i="85"/>
  <c r="H7" i="85"/>
  <c r="E69" i="84" l="1"/>
  <c r="E68" i="84"/>
  <c r="F10" i="84"/>
  <c r="H27" i="85"/>
  <c r="I7" i="85"/>
  <c r="E70" i="84" l="1"/>
  <c r="F66" i="84"/>
  <c r="F14" i="84"/>
  <c r="I27" i="85"/>
  <c r="J7" i="85"/>
  <c r="F68" i="84" l="1"/>
  <c r="F69" i="84"/>
  <c r="G10" i="84"/>
  <c r="J27" i="85"/>
  <c r="K7" i="85"/>
  <c r="G66" i="84" l="1"/>
  <c r="G14" i="84"/>
  <c r="F70" i="84"/>
  <c r="K27" i="85"/>
  <c r="L7" i="85"/>
  <c r="G68" i="84" l="1"/>
  <c r="G69" i="84"/>
  <c r="H10" i="84"/>
  <c r="L27" i="85"/>
  <c r="M7" i="85"/>
  <c r="G70" i="84" l="1"/>
  <c r="H66" i="84"/>
  <c r="H14" i="84"/>
  <c r="M27" i="85"/>
  <c r="N7" i="85"/>
  <c r="H69" i="84" l="1"/>
  <c r="I10" i="84"/>
  <c r="N27" i="85"/>
  <c r="O7" i="85"/>
  <c r="O27" i="85" s="1"/>
  <c r="I14" i="84" l="1"/>
  <c r="I69" i="84" l="1"/>
  <c r="J10" i="84"/>
  <c r="J14" i="84" l="1"/>
  <c r="J69" i="84" l="1"/>
  <c r="K10" i="84"/>
  <c r="K14" i="84" s="1"/>
  <c r="K69" i="84" s="1"/>
  <c r="L10" i="84" l="1"/>
  <c r="L14" i="84" s="1"/>
  <c r="L69" i="84" s="1"/>
  <c r="M10" i="84" l="1"/>
  <c r="M14" i="84" l="1"/>
  <c r="M69" i="84" s="1"/>
  <c r="N10" i="84" l="1"/>
  <c r="N14" i="84" l="1"/>
  <c r="N69" i="84" s="1"/>
  <c r="O10" i="84" l="1"/>
  <c r="O14" i="84" l="1"/>
  <c r="P10" i="84" l="1"/>
  <c r="P14" i="84" s="1"/>
  <c r="P69" i="84" s="1"/>
  <c r="O69" i="84"/>
  <c r="Q10" i="84" l="1"/>
  <c r="Q14" i="84" s="1"/>
  <c r="Q69" i="84" s="1"/>
  <c r="A10" i="63"/>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33" i="63" s="1"/>
  <c r="A34" i="63" s="1"/>
  <c r="A35" i="63" s="1"/>
  <c r="A36" i="63" s="1"/>
  <c r="A37" i="63" s="1"/>
  <c r="R10" i="84" l="1"/>
  <c r="R14" i="84" s="1"/>
  <c r="R69" i="84" s="1"/>
  <c r="B36" i="63"/>
  <c r="S10" i="84" l="1"/>
  <c r="S14" i="84" s="1"/>
  <c r="S69" i="84" s="1"/>
  <c r="E26" i="86"/>
  <c r="E28" i="86"/>
  <c r="T10" i="84" l="1"/>
  <c r="T14" i="84" s="1"/>
  <c r="U10" i="84" s="1"/>
  <c r="E29" i="86"/>
  <c r="T69" i="84" l="1"/>
  <c r="U14" i="84"/>
  <c r="V10" i="84" s="1"/>
  <c r="E37" i="86"/>
  <c r="E10" i="63" s="1"/>
  <c r="E33" i="86"/>
  <c r="V14" i="84" l="1"/>
  <c r="W10" i="84" s="1"/>
  <c r="U69" i="84"/>
  <c r="E14" i="19"/>
  <c r="E18" i="19" s="1"/>
  <c r="D14" i="19"/>
  <c r="D18" i="19" s="1"/>
  <c r="A10" i="19"/>
  <c r="W14" i="84" l="1"/>
  <c r="X10" i="84" s="1"/>
  <c r="V69" i="84"/>
  <c r="A11" i="19"/>
  <c r="A12" i="19" s="1"/>
  <c r="A13" i="19" s="1"/>
  <c r="A14" i="19" s="1"/>
  <c r="X14" i="84" l="1"/>
  <c r="Y10" i="84" s="1"/>
  <c r="W69" i="84"/>
  <c r="C14" i="19"/>
  <c r="A15" i="19"/>
  <c r="A16" i="19" s="1"/>
  <c r="C18" i="19" s="1"/>
  <c r="Y14" i="84" l="1"/>
  <c r="Z10" i="84" s="1"/>
  <c r="X69" i="84"/>
  <c r="A17" i="19"/>
  <c r="A18" i="19" s="1"/>
  <c r="A19" i="19" s="1"/>
  <c r="A20" i="19" s="1"/>
  <c r="Z14" i="84" l="1"/>
  <c r="AA10" i="84" s="1"/>
  <c r="Y69" i="84"/>
  <c r="A21" i="19"/>
  <c r="A22" i="19" s="1"/>
  <c r="A23" i="19" s="1"/>
  <c r="A24" i="19" s="1"/>
  <c r="AA14" i="84" l="1"/>
  <c r="AB10" i="84" s="1"/>
  <c r="Z69" i="84"/>
  <c r="C24" i="19"/>
  <c r="A25" i="19"/>
  <c r="A26" i="19" s="1"/>
  <c r="A27" i="19" l="1"/>
  <c r="A28" i="19" s="1"/>
  <c r="A29" i="19" s="1"/>
  <c r="A30" i="19" s="1"/>
  <c r="A31" i="19" s="1"/>
  <c r="A32" i="19" s="1"/>
  <c r="A33" i="19" s="1"/>
  <c r="A34" i="19" s="1"/>
  <c r="A35" i="19" s="1"/>
  <c r="A36" i="19" s="1"/>
  <c r="AB14" i="84"/>
  <c r="C34" i="19"/>
  <c r="AA69" i="84"/>
  <c r="C38" i="19"/>
  <c r="A37" i="19" l="1"/>
  <c r="A38" i="19" s="1"/>
  <c r="A39" i="19" s="1"/>
  <c r="A40" i="19" s="1"/>
  <c r="A41" i="19" s="1"/>
  <c r="A42" i="19" s="1"/>
  <c r="A43" i="19" s="1"/>
  <c r="A44" i="19" s="1"/>
  <c r="C52" i="19"/>
  <c r="AC10" i="84"/>
  <c r="AB69" i="84"/>
  <c r="C40" i="19"/>
  <c r="C48" i="19"/>
  <c r="A45" i="19" l="1"/>
  <c r="A46" i="19" s="1"/>
  <c r="A47" i="19" s="1"/>
  <c r="A48" i="19" s="1"/>
  <c r="A49" i="19" s="1"/>
  <c r="A50" i="19" s="1"/>
  <c r="A51" i="19" s="1"/>
  <c r="A52" i="19" s="1"/>
  <c r="C46" i="19"/>
  <c r="AC14" i="84"/>
  <c r="C50" i="19"/>
  <c r="AD10" i="84" l="1"/>
  <c r="AC69" i="84"/>
  <c r="I36" i="84"/>
  <c r="AD14" i="84" l="1"/>
  <c r="H36" i="84"/>
  <c r="AE10" i="84" l="1"/>
  <c r="AD69" i="84"/>
  <c r="H45" i="84"/>
  <c r="H46" i="84" s="1"/>
  <c r="I40" i="84" s="1"/>
  <c r="H37" i="84"/>
  <c r="AE14" i="84" l="1"/>
  <c r="I45" i="84"/>
  <c r="L45" i="84"/>
  <c r="K45" i="84"/>
  <c r="M45" i="84"/>
  <c r="J45" i="84"/>
  <c r="N45" i="84"/>
  <c r="I32" i="84"/>
  <c r="D14" i="63"/>
  <c r="D18" i="63" s="1"/>
  <c r="D22" i="63" s="1"/>
  <c r="E14" i="63"/>
  <c r="E18" i="63" s="1"/>
  <c r="E22" i="63" s="1"/>
  <c r="H62" i="84"/>
  <c r="H63" i="84" s="1"/>
  <c r="I57" i="84" s="1"/>
  <c r="I53" i="84"/>
  <c r="H53" i="84"/>
  <c r="AF10" i="84" l="1"/>
  <c r="AF14" i="84" s="1"/>
  <c r="AE69" i="84"/>
  <c r="H67" i="84"/>
  <c r="I46" i="84"/>
  <c r="J40" i="84" s="1"/>
  <c r="J46" i="84" s="1"/>
  <c r="K40" i="84" s="1"/>
  <c r="K46" i="84" s="1"/>
  <c r="L40" i="84" s="1"/>
  <c r="L46" i="84" s="1"/>
  <c r="M40" i="84" s="1"/>
  <c r="M46" i="84" s="1"/>
  <c r="N40" i="84" s="1"/>
  <c r="N46" i="84" s="1"/>
  <c r="O40" i="84" s="1"/>
  <c r="O46" i="84" s="1"/>
  <c r="P40" i="84" s="1"/>
  <c r="P46" i="84" s="1"/>
  <c r="Q40" i="84" s="1"/>
  <c r="Q46" i="84" s="1"/>
  <c r="R40" i="84" s="1"/>
  <c r="R46" i="84" s="1"/>
  <c r="S40" i="84" s="1"/>
  <c r="S46" i="84" s="1"/>
  <c r="T40" i="84" s="1"/>
  <c r="T46" i="84" s="1"/>
  <c r="U40" i="84" s="1"/>
  <c r="U46" i="84" s="1"/>
  <c r="V40" i="84" s="1"/>
  <c r="V46" i="84" s="1"/>
  <c r="W40" i="84" s="1"/>
  <c r="W46" i="84" s="1"/>
  <c r="X40" i="84" s="1"/>
  <c r="X46" i="84" s="1"/>
  <c r="Y40" i="84" s="1"/>
  <c r="Y46" i="84" s="1"/>
  <c r="Z40" i="84" s="1"/>
  <c r="Z46" i="84" s="1"/>
  <c r="AA40" i="84" s="1"/>
  <c r="AA46" i="84" s="1"/>
  <c r="AB40" i="84" s="1"/>
  <c r="AB46" i="84" s="1"/>
  <c r="AC40" i="84" s="1"/>
  <c r="AC46" i="84" s="1"/>
  <c r="AD40" i="84" s="1"/>
  <c r="AD46" i="84" s="1"/>
  <c r="AE40" i="84" s="1"/>
  <c r="AE46" i="84" s="1"/>
  <c r="AF40" i="84" s="1"/>
  <c r="AF46" i="84" s="1"/>
  <c r="AG40" i="84" s="1"/>
  <c r="H54" i="84"/>
  <c r="H68" i="84" s="1"/>
  <c r="H70" i="84" s="1"/>
  <c r="I37" i="84"/>
  <c r="I62" i="84"/>
  <c r="I63" i="84" s="1"/>
  <c r="J57" i="84" s="1"/>
  <c r="J53" i="84"/>
  <c r="AG46" i="84" l="1"/>
  <c r="AH40" i="84" s="1"/>
  <c r="AH46" i="84" s="1"/>
  <c r="AI40" i="84" s="1"/>
  <c r="AI46" i="84" s="1"/>
  <c r="AJ40" i="84" s="1"/>
  <c r="AJ46" i="84" s="1"/>
  <c r="AK40" i="84" s="1"/>
  <c r="AK46" i="84" s="1"/>
  <c r="AL40" i="84" s="1"/>
  <c r="AL46" i="84" s="1"/>
  <c r="AM40" i="84" s="1"/>
  <c r="AM46" i="84" s="1"/>
  <c r="I67" i="84"/>
  <c r="I49" i="84"/>
  <c r="I66" i="84" s="1"/>
  <c r="J32" i="84"/>
  <c r="J62" i="84"/>
  <c r="J63" i="84" s="1"/>
  <c r="K57" i="84" s="1"/>
  <c r="E12" i="108" l="1"/>
  <c r="E22" i="108" s="1"/>
  <c r="AN40" i="84"/>
  <c r="AN46" i="84" s="1"/>
  <c r="AO40" i="84" s="1"/>
  <c r="AO46" i="84" s="1"/>
  <c r="AP40" i="84" s="1"/>
  <c r="AP46" i="84" s="1"/>
  <c r="AQ40" i="84" s="1"/>
  <c r="AQ46" i="84" s="1"/>
  <c r="AG10" i="84"/>
  <c r="AF69" i="84"/>
  <c r="E28" i="19"/>
  <c r="J67" i="84"/>
  <c r="I54" i="84"/>
  <c r="I68" i="84" s="1"/>
  <c r="I70" i="84" s="1"/>
  <c r="J37" i="84"/>
  <c r="L53" i="84"/>
  <c r="M53" i="84"/>
  <c r="AG14" i="84" l="1"/>
  <c r="K53" i="84"/>
  <c r="J49" i="84"/>
  <c r="J66" i="84" s="1"/>
  <c r="K32" i="84"/>
  <c r="L62" i="84"/>
  <c r="L67" i="84" s="1"/>
  <c r="N53" i="84"/>
  <c r="AH10" i="84" l="1"/>
  <c r="AG69" i="84"/>
  <c r="K62" i="84"/>
  <c r="K63" i="84" s="1"/>
  <c r="L57" i="84" s="1"/>
  <c r="L63" i="84" s="1"/>
  <c r="M57" i="84" s="1"/>
  <c r="J54" i="84"/>
  <c r="J68" i="84" s="1"/>
  <c r="J70" i="84" s="1"/>
  <c r="K37" i="84"/>
  <c r="M62" i="84"/>
  <c r="M67" i="84" s="1"/>
  <c r="AH14" i="84" l="1"/>
  <c r="K67" i="84"/>
  <c r="M63" i="84"/>
  <c r="N57" i="84" s="1"/>
  <c r="K49" i="84"/>
  <c r="K66" i="84" s="1"/>
  <c r="L32" i="84"/>
  <c r="N62" i="84"/>
  <c r="N67" i="84" s="1"/>
  <c r="O53" i="84"/>
  <c r="AI10" i="84" l="1"/>
  <c r="AH69" i="84"/>
  <c r="N63" i="84"/>
  <c r="O57" i="84" s="1"/>
  <c r="K54" i="84"/>
  <c r="K68" i="84" s="1"/>
  <c r="K70" i="84" s="1"/>
  <c r="L37" i="84"/>
  <c r="AI14" i="84" l="1"/>
  <c r="O62" i="84"/>
  <c r="O67" i="84" s="1"/>
  <c r="L49" i="84"/>
  <c r="L66" i="84" s="1"/>
  <c r="M32" i="84"/>
  <c r="AJ10" i="84" l="1"/>
  <c r="AI69" i="84"/>
  <c r="O63" i="84"/>
  <c r="P57" i="84" s="1"/>
  <c r="P63" i="84" s="1"/>
  <c r="Q57" i="84" s="1"/>
  <c r="Q63" i="84" s="1"/>
  <c r="R57" i="84" s="1"/>
  <c r="R63" i="84" s="1"/>
  <c r="S57" i="84" s="1"/>
  <c r="S63" i="84" s="1"/>
  <c r="T57" i="84" s="1"/>
  <c r="T63" i="84" s="1"/>
  <c r="U57" i="84" s="1"/>
  <c r="U63" i="84" s="1"/>
  <c r="V57" i="84" s="1"/>
  <c r="V63" i="84" s="1"/>
  <c r="W57" i="84" s="1"/>
  <c r="W63" i="84" s="1"/>
  <c r="X57" i="84" s="1"/>
  <c r="X63" i="84" s="1"/>
  <c r="Y57" i="84" s="1"/>
  <c r="Y63" i="84" s="1"/>
  <c r="Z57" i="84" s="1"/>
  <c r="Z63" i="84" s="1"/>
  <c r="AA57" i="84" s="1"/>
  <c r="AA63" i="84" s="1"/>
  <c r="AB57" i="84" s="1"/>
  <c r="AB63" i="84" s="1"/>
  <c r="AC57" i="84" s="1"/>
  <c r="AC63" i="84" s="1"/>
  <c r="AD57" i="84" s="1"/>
  <c r="AD63" i="84" s="1"/>
  <c r="AE57" i="84" s="1"/>
  <c r="AE63" i="84" s="1"/>
  <c r="AF57" i="84" s="1"/>
  <c r="AF63" i="84" s="1"/>
  <c r="AG57" i="84" s="1"/>
  <c r="AG63" i="84" s="1"/>
  <c r="AH57" i="84" s="1"/>
  <c r="AH63" i="84" s="1"/>
  <c r="AI57" i="84" s="1"/>
  <c r="AI63" i="84" s="1"/>
  <c r="AJ57" i="84" s="1"/>
  <c r="AJ63" i="84" s="1"/>
  <c r="AK57" i="84" s="1"/>
  <c r="AK63" i="84" s="1"/>
  <c r="AL57" i="84" s="1"/>
  <c r="AL63" i="84" s="1"/>
  <c r="AM57" i="84" s="1"/>
  <c r="AM63" i="84" s="1"/>
  <c r="L54" i="84"/>
  <c r="L68" i="84" s="1"/>
  <c r="L70" i="84" s="1"/>
  <c r="M37" i="84"/>
  <c r="E14" i="108" l="1"/>
  <c r="E24" i="108" s="1"/>
  <c r="AN57" i="84"/>
  <c r="AN63" i="84" s="1"/>
  <c r="AO57" i="84" s="1"/>
  <c r="AO63" i="84" s="1"/>
  <c r="AP57" i="84" s="1"/>
  <c r="AP63" i="84" s="1"/>
  <c r="AQ57" i="84" s="1"/>
  <c r="AQ63" i="84" s="1"/>
  <c r="AJ14" i="84"/>
  <c r="M49" i="84"/>
  <c r="M66" i="84" s="1"/>
  <c r="N32" i="84"/>
  <c r="AK10" i="84" l="1"/>
  <c r="AJ69" i="84"/>
  <c r="E16" i="108"/>
  <c r="M54" i="84"/>
  <c r="M68" i="84" s="1"/>
  <c r="M70" i="84" s="1"/>
  <c r="N37" i="84"/>
  <c r="AK14" i="84" l="1"/>
  <c r="E30" i="19"/>
  <c r="E26" i="108"/>
  <c r="N49" i="84"/>
  <c r="N66" i="84" s="1"/>
  <c r="O32" i="84"/>
  <c r="AL10" i="84" l="1"/>
  <c r="AK69" i="84"/>
  <c r="E34" i="19"/>
  <c r="N54" i="84"/>
  <c r="N68" i="84" s="1"/>
  <c r="N70" i="84" s="1"/>
  <c r="O37" i="84"/>
  <c r="AL14" i="84" l="1"/>
  <c r="E38" i="19"/>
  <c r="E40" i="19" s="1"/>
  <c r="E24" i="63" s="1"/>
  <c r="E26" i="63" s="1"/>
  <c r="E28" i="63" s="1"/>
  <c r="E30" i="63" s="1"/>
  <c r="E32" i="63" s="1"/>
  <c r="E34" i="63" s="1"/>
  <c r="E42" i="19" s="1"/>
  <c r="D14" i="118"/>
  <c r="P32" i="84"/>
  <c r="O49" i="84"/>
  <c r="O66" i="84" s="1"/>
  <c r="AM10" i="84" l="1"/>
  <c r="AL69" i="84"/>
  <c r="E48" i="19"/>
  <c r="E50" i="19" s="1"/>
  <c r="G10" i="96" s="1"/>
  <c r="E44" i="19"/>
  <c r="E46" i="19" s="1"/>
  <c r="D12" i="118" s="1"/>
  <c r="D16" i="118" s="1"/>
  <c r="G10" i="123" s="1"/>
  <c r="P37" i="84"/>
  <c r="O54" i="84"/>
  <c r="O68" i="84" s="1"/>
  <c r="O70" i="84" s="1"/>
  <c r="AM14" i="84" l="1"/>
  <c r="AN10" i="84" s="1"/>
  <c r="I10" i="123"/>
  <c r="K10" i="123" s="1"/>
  <c r="G17" i="92" s="1"/>
  <c r="G14" i="128" s="1"/>
  <c r="H14" i="128" s="1"/>
  <c r="K14" i="128" s="1"/>
  <c r="G36" i="123"/>
  <c r="I36" i="123" s="1"/>
  <c r="K36" i="123" s="1"/>
  <c r="G58" i="92" s="1"/>
  <c r="G63" i="128" s="1"/>
  <c r="H63" i="128" s="1"/>
  <c r="K63" i="128" s="1"/>
  <c r="G46" i="123"/>
  <c r="I46" i="123" s="1"/>
  <c r="K46" i="123" s="1"/>
  <c r="G68" i="92" s="1"/>
  <c r="G72" i="128" s="1"/>
  <c r="H72" i="128" s="1"/>
  <c r="K72" i="128" s="1"/>
  <c r="G39" i="123"/>
  <c r="I39" i="123" s="1"/>
  <c r="K39" i="123" s="1"/>
  <c r="G61" i="92" s="1"/>
  <c r="G65" i="128" s="1"/>
  <c r="H65" i="128" s="1"/>
  <c r="K65" i="128" s="1"/>
  <c r="G17" i="123"/>
  <c r="I17" i="123" s="1"/>
  <c r="K17" i="123" s="1"/>
  <c r="G24" i="92" s="1"/>
  <c r="G24" i="128" s="1"/>
  <c r="H24" i="128" s="1"/>
  <c r="K24" i="128" s="1"/>
  <c r="G13" i="123"/>
  <c r="I13" i="123" s="1"/>
  <c r="K13" i="123" s="1"/>
  <c r="G20" i="92" s="1"/>
  <c r="G17" i="128" s="1"/>
  <c r="H17" i="128" s="1"/>
  <c r="K17" i="128" s="1"/>
  <c r="G14" i="123"/>
  <c r="I14" i="123" s="1"/>
  <c r="K14" i="123" s="1"/>
  <c r="G21" i="92" s="1"/>
  <c r="G18" i="128" s="1"/>
  <c r="H18" i="128" s="1"/>
  <c r="K18" i="128" s="1"/>
  <c r="G22" i="123"/>
  <c r="I22" i="123" s="1"/>
  <c r="K22" i="123" s="1"/>
  <c r="G28" i="92" s="1"/>
  <c r="G21" i="123"/>
  <c r="I21" i="123" s="1"/>
  <c r="K21" i="123" s="1"/>
  <c r="G27" i="92" s="1"/>
  <c r="G40" i="123"/>
  <c r="I40" i="123" s="1"/>
  <c r="K40" i="123" s="1"/>
  <c r="G62" i="92" s="1"/>
  <c r="G66" i="128" s="1"/>
  <c r="H66" i="128" s="1"/>
  <c r="K66" i="128" s="1"/>
  <c r="G32" i="123"/>
  <c r="I32" i="123" s="1"/>
  <c r="K32" i="123" s="1"/>
  <c r="G37" i="92" s="1"/>
  <c r="G32" i="128" s="1"/>
  <c r="H32" i="128" s="1"/>
  <c r="K32" i="128" s="1"/>
  <c r="G47" i="123"/>
  <c r="I47" i="123" s="1"/>
  <c r="K47" i="123" s="1"/>
  <c r="G69" i="92" s="1"/>
  <c r="G73" i="128" s="1"/>
  <c r="H73" i="128" s="1"/>
  <c r="K73" i="128" s="1"/>
  <c r="G29" i="123"/>
  <c r="I29" i="123" s="1"/>
  <c r="K29" i="123" s="1"/>
  <c r="G34" i="92" s="1"/>
  <c r="G34" i="128" s="1"/>
  <c r="H34" i="128" s="1"/>
  <c r="K34" i="128" s="1"/>
  <c r="G43" i="123"/>
  <c r="I43" i="123" s="1"/>
  <c r="K43" i="123" s="1"/>
  <c r="G65" i="92" s="1"/>
  <c r="G70" i="128" s="1"/>
  <c r="H70" i="128" s="1"/>
  <c r="K70" i="128" s="1"/>
  <c r="G35" i="123"/>
  <c r="I35" i="123" s="1"/>
  <c r="K35" i="123" s="1"/>
  <c r="G57" i="92" s="1"/>
  <c r="G62" i="128" s="1"/>
  <c r="H62" i="128" s="1"/>
  <c r="K62" i="128" s="1"/>
  <c r="G30" i="123"/>
  <c r="I30" i="123" s="1"/>
  <c r="K30" i="123" s="1"/>
  <c r="G35" i="92" s="1"/>
  <c r="G25" i="123"/>
  <c r="I25" i="123" s="1"/>
  <c r="K25" i="123" s="1"/>
  <c r="G31" i="92" s="1"/>
  <c r="G31" i="128" s="1"/>
  <c r="H31" i="128" s="1"/>
  <c r="K31" i="128" s="1"/>
  <c r="P49" i="84"/>
  <c r="P66" i="84" s="1"/>
  <c r="Q32" i="84"/>
  <c r="G34" i="96"/>
  <c r="I34" i="96" s="1"/>
  <c r="K34" i="96" s="1"/>
  <c r="G33" i="96"/>
  <c r="I33" i="96" s="1"/>
  <c r="K33" i="96" s="1"/>
  <c r="G38" i="96"/>
  <c r="I38" i="96" s="1"/>
  <c r="G37" i="96"/>
  <c r="I37" i="96" s="1"/>
  <c r="K37" i="96" s="1"/>
  <c r="I10" i="96"/>
  <c r="K10" i="96" s="1"/>
  <c r="G41" i="96"/>
  <c r="I41" i="96" s="1"/>
  <c r="G28" i="96"/>
  <c r="I28" i="96" s="1"/>
  <c r="G14" i="96"/>
  <c r="I14" i="96" s="1"/>
  <c r="K14" i="96" s="1"/>
  <c r="E21" i="92" s="1"/>
  <c r="G17" i="97" s="1"/>
  <c r="H17" i="97" s="1"/>
  <c r="K17" i="97" s="1"/>
  <c r="G44" i="96"/>
  <c r="I44" i="96" s="1"/>
  <c r="G27" i="96"/>
  <c r="I27" i="96" s="1"/>
  <c r="K27" i="96" s="1"/>
  <c r="G17" i="96"/>
  <c r="I17" i="96" s="1"/>
  <c r="K17" i="96" s="1"/>
  <c r="G30" i="96"/>
  <c r="I30" i="96" s="1"/>
  <c r="K30" i="96" s="1"/>
  <c r="E37" i="92" s="1"/>
  <c r="G31" i="97" s="1"/>
  <c r="G20" i="96"/>
  <c r="I20" i="96" s="1"/>
  <c r="G13" i="96"/>
  <c r="I13" i="96" s="1"/>
  <c r="K13" i="96" s="1"/>
  <c r="G24" i="96"/>
  <c r="I24" i="96" s="1"/>
  <c r="K24" i="96" s="1"/>
  <c r="G21" i="96"/>
  <c r="I21" i="96" s="1"/>
  <c r="K21" i="96" s="1"/>
  <c r="G45" i="96"/>
  <c r="I45" i="96" s="1"/>
  <c r="K45" i="96" s="1"/>
  <c r="K19" i="128" l="1"/>
  <c r="L19" i="128" s="1"/>
  <c r="L14" i="128"/>
  <c r="K21" i="128"/>
  <c r="L21" i="128" s="1"/>
  <c r="AN14" i="84"/>
  <c r="AM69" i="84"/>
  <c r="G26" i="128"/>
  <c r="H26" i="128" s="1"/>
  <c r="K26" i="128" s="1"/>
  <c r="K67" i="128"/>
  <c r="L67" i="128" s="1"/>
  <c r="K74" i="128"/>
  <c r="L74" i="128" s="1"/>
  <c r="G27" i="128"/>
  <c r="H27" i="128" s="1"/>
  <c r="K27" i="128" s="1"/>
  <c r="G35" i="128"/>
  <c r="H35" i="128" s="1"/>
  <c r="K35" i="128" s="1"/>
  <c r="K36" i="128" s="1"/>
  <c r="L36" i="128" s="1"/>
  <c r="Q37" i="84"/>
  <c r="P54" i="84"/>
  <c r="P68" i="84" s="1"/>
  <c r="P70" i="84" s="1"/>
  <c r="G84" i="128"/>
  <c r="H84" i="128" s="1"/>
  <c r="K84" i="128" s="1"/>
  <c r="G83" i="128"/>
  <c r="H83" i="128" s="1"/>
  <c r="K83" i="128" s="1"/>
  <c r="H80" i="128"/>
  <c r="K80" i="128" s="1"/>
  <c r="G98" i="128"/>
  <c r="H98" i="128" s="1"/>
  <c r="K98" i="128" s="1"/>
  <c r="G86" i="128"/>
  <c r="H86" i="128" s="1"/>
  <c r="K86" i="128" s="1"/>
  <c r="G95" i="128"/>
  <c r="H95" i="128" s="1"/>
  <c r="K95" i="128" s="1"/>
  <c r="G85" i="128"/>
  <c r="H85" i="128" s="1"/>
  <c r="K85" i="128" s="1"/>
  <c r="G100" i="128"/>
  <c r="H100" i="128" s="1"/>
  <c r="K100" i="128" s="1"/>
  <c r="G88" i="128"/>
  <c r="H88" i="128" s="1"/>
  <c r="K88" i="128" s="1"/>
  <c r="G97" i="128"/>
  <c r="H97" i="128" s="1"/>
  <c r="K97" i="128" s="1"/>
  <c r="G87" i="128"/>
  <c r="H87" i="128" s="1"/>
  <c r="K87" i="128" s="1"/>
  <c r="G81" i="128"/>
  <c r="H81" i="128" s="1"/>
  <c r="K81" i="128" s="1"/>
  <c r="H93" i="128"/>
  <c r="K93" i="128" s="1"/>
  <c r="G99" i="128"/>
  <c r="H99" i="128" s="1"/>
  <c r="K99" i="128" s="1"/>
  <c r="G96" i="128"/>
  <c r="H96" i="128" s="1"/>
  <c r="K96" i="128" s="1"/>
  <c r="G43" i="128"/>
  <c r="H43" i="128" s="1"/>
  <c r="K43" i="128" s="1"/>
  <c r="H42" i="128"/>
  <c r="K42" i="128" s="1"/>
  <c r="G46" i="128"/>
  <c r="H46" i="128" s="1"/>
  <c r="K46" i="128" s="1"/>
  <c r="G45" i="128"/>
  <c r="H45" i="128" s="1"/>
  <c r="K45" i="128" s="1"/>
  <c r="G54" i="128"/>
  <c r="H54" i="128" s="1"/>
  <c r="K54" i="128" s="1"/>
  <c r="H52" i="128"/>
  <c r="K52" i="128" s="1"/>
  <c r="K28" i="96"/>
  <c r="E35" i="92" s="1"/>
  <c r="G34" i="97" s="1"/>
  <c r="H34" i="97" s="1"/>
  <c r="K34" i="97" s="1"/>
  <c r="K41" i="96"/>
  <c r="E65" i="92" s="1"/>
  <c r="G69" i="97" s="1"/>
  <c r="H37" i="92"/>
  <c r="H21" i="92"/>
  <c r="K20" i="96"/>
  <c r="E27" i="92" s="1"/>
  <c r="G25" i="97" s="1"/>
  <c r="K44" i="96"/>
  <c r="E68" i="92" s="1"/>
  <c r="G71" i="97" s="1"/>
  <c r="E31" i="92"/>
  <c r="G30" i="97" s="1"/>
  <c r="H30" i="97" s="1"/>
  <c r="K30" i="97" s="1"/>
  <c r="H31" i="97"/>
  <c r="K31" i="97" s="1"/>
  <c r="K38" i="96"/>
  <c r="E62" i="92" s="1"/>
  <c r="G65" i="97" s="1"/>
  <c r="E20" i="92"/>
  <c r="G16" i="97" s="1"/>
  <c r="H16" i="97" s="1"/>
  <c r="K16" i="97" s="1"/>
  <c r="K18" i="97" s="1"/>
  <c r="L18" i="97" s="1"/>
  <c r="E28" i="92"/>
  <c r="G26" i="97" s="1"/>
  <c r="H26" i="97" s="1"/>
  <c r="K26" i="97" s="1"/>
  <c r="E24" i="92"/>
  <c r="G23" i="97" s="1"/>
  <c r="H23" i="97" s="1"/>
  <c r="K23" i="97" s="1"/>
  <c r="E34" i="92"/>
  <c r="G33" i="97" s="1"/>
  <c r="H33" i="97" s="1"/>
  <c r="K33" i="97" s="1"/>
  <c r="E61" i="92"/>
  <c r="G64" i="97" s="1"/>
  <c r="H64" i="97" s="1"/>
  <c r="K64" i="97" s="1"/>
  <c r="E69" i="92"/>
  <c r="G72" i="97" s="1"/>
  <c r="H72" i="97" s="1"/>
  <c r="K72" i="97" s="1"/>
  <c r="E17" i="92"/>
  <c r="G13" i="97" s="1"/>
  <c r="H13" i="97" s="1"/>
  <c r="K13" i="97" s="1"/>
  <c r="E58" i="92"/>
  <c r="G62" i="97" s="1"/>
  <c r="H62" i="97" s="1"/>
  <c r="K62" i="97" s="1"/>
  <c r="E57" i="92"/>
  <c r="AO10" i="84" l="1"/>
  <c r="AN69" i="84"/>
  <c r="L13" i="97"/>
  <c r="K20" i="97"/>
  <c r="L20" i="97" s="1"/>
  <c r="J21" i="92"/>
  <c r="G18" i="127"/>
  <c r="H18" i="127" s="1"/>
  <c r="K18" i="127" s="1"/>
  <c r="K28" i="128"/>
  <c r="L28" i="128" s="1"/>
  <c r="K76" i="128"/>
  <c r="L76" i="128" s="1"/>
  <c r="H57" i="92"/>
  <c r="G62" i="127" s="1"/>
  <c r="H62" i="127" s="1"/>
  <c r="K62" i="127" s="1"/>
  <c r="G61" i="97"/>
  <c r="H61" i="97" s="1"/>
  <c r="K61" i="97" s="1"/>
  <c r="Q49" i="84"/>
  <c r="Q66" i="84" s="1"/>
  <c r="R32" i="84"/>
  <c r="H25" i="97"/>
  <c r="K25" i="97" s="1"/>
  <c r="K27" i="97" s="1"/>
  <c r="E53" i="92"/>
  <c r="J53" i="92" s="1"/>
  <c r="G55" i="128"/>
  <c r="H55" i="128" s="1"/>
  <c r="K55" i="128" s="1"/>
  <c r="E46" i="92"/>
  <c r="J46" i="92" s="1"/>
  <c r="G47" i="128"/>
  <c r="H47" i="128" s="1"/>
  <c r="K47" i="128" s="1"/>
  <c r="K48" i="128" s="1"/>
  <c r="K101" i="128"/>
  <c r="L101" i="128" s="1"/>
  <c r="E54" i="92"/>
  <c r="G55" i="97" s="1"/>
  <c r="H55" i="97" s="1"/>
  <c r="K55" i="97" s="1"/>
  <c r="G56" i="128"/>
  <c r="H56" i="128" s="1"/>
  <c r="K56" i="128" s="1"/>
  <c r="K89" i="128"/>
  <c r="J37" i="92"/>
  <c r="G32" i="127"/>
  <c r="H32" i="127" s="1"/>
  <c r="K32" i="127" s="1"/>
  <c r="E90" i="92"/>
  <c r="G97" i="97" s="1"/>
  <c r="H97" i="97" s="1"/>
  <c r="K97" i="97" s="1"/>
  <c r="E52" i="92"/>
  <c r="G53" i="97" s="1"/>
  <c r="H53" i="97" s="1"/>
  <c r="K53" i="97" s="1"/>
  <c r="E45" i="92"/>
  <c r="G45" i="97" s="1"/>
  <c r="H45" i="97" s="1"/>
  <c r="K45" i="97" s="1"/>
  <c r="E41" i="92"/>
  <c r="G42" i="97" s="1"/>
  <c r="H42" i="97" s="1"/>
  <c r="K42" i="97" s="1"/>
  <c r="E91" i="92"/>
  <c r="G98" i="97" s="1"/>
  <c r="H98" i="97" s="1"/>
  <c r="K98" i="97" s="1"/>
  <c r="E73" i="92"/>
  <c r="G80" i="97" s="1"/>
  <c r="H80" i="97" s="1"/>
  <c r="K80" i="97" s="1"/>
  <c r="E89" i="92"/>
  <c r="G96" i="97" s="1"/>
  <c r="H96" i="97" s="1"/>
  <c r="K96" i="97" s="1"/>
  <c r="E92" i="92"/>
  <c r="G99" i="97" s="1"/>
  <c r="H99" i="97" s="1"/>
  <c r="K99" i="97" s="1"/>
  <c r="E87" i="92"/>
  <c r="G94" i="97" s="1"/>
  <c r="H94" i="97" s="1"/>
  <c r="K94" i="97" s="1"/>
  <c r="E76" i="92"/>
  <c r="G82" i="97" s="1"/>
  <c r="H82" i="97" s="1"/>
  <c r="K82" i="97" s="1"/>
  <c r="H92" i="97"/>
  <c r="K92" i="97" s="1"/>
  <c r="J54" i="92"/>
  <c r="H51" i="97"/>
  <c r="K51" i="97" s="1"/>
  <c r="E44" i="92"/>
  <c r="G44" i="97" s="1"/>
  <c r="H44" i="97" s="1"/>
  <c r="K44" i="97" s="1"/>
  <c r="H41" i="97"/>
  <c r="K41" i="97" s="1"/>
  <c r="E88" i="92"/>
  <c r="G95" i="97" s="1"/>
  <c r="H95" i="97" s="1"/>
  <c r="K95" i="97" s="1"/>
  <c r="E80" i="92"/>
  <c r="G86" i="97" s="1"/>
  <c r="H86" i="97" s="1"/>
  <c r="K86" i="97" s="1"/>
  <c r="E81" i="92"/>
  <c r="G87" i="97" s="1"/>
  <c r="H87" i="97" s="1"/>
  <c r="K87" i="97" s="1"/>
  <c r="E78" i="92"/>
  <c r="G84" i="97" s="1"/>
  <c r="H84" i="97" s="1"/>
  <c r="K84" i="97" s="1"/>
  <c r="E79" i="92"/>
  <c r="G85" i="97" s="1"/>
  <c r="H85" i="97" s="1"/>
  <c r="K85" i="97" s="1"/>
  <c r="H79" i="97"/>
  <c r="K79" i="97" s="1"/>
  <c r="E77" i="92"/>
  <c r="G83" i="97" s="1"/>
  <c r="H83" i="97" s="1"/>
  <c r="K83" i="97" s="1"/>
  <c r="H71" i="97"/>
  <c r="K71" i="97" s="1"/>
  <c r="H69" i="97"/>
  <c r="K69" i="97" s="1"/>
  <c r="H65" i="97"/>
  <c r="K65" i="97" s="1"/>
  <c r="H20" i="92"/>
  <c r="H31" i="92"/>
  <c r="H58" i="92"/>
  <c r="H69" i="92"/>
  <c r="H27" i="92"/>
  <c r="J27" i="92" s="1"/>
  <c r="H62" i="92"/>
  <c r="H24" i="92"/>
  <c r="H68" i="92"/>
  <c r="H35" i="92"/>
  <c r="H17" i="92"/>
  <c r="H61" i="92"/>
  <c r="H65" i="92"/>
  <c r="H34" i="92"/>
  <c r="H28" i="92"/>
  <c r="J28" i="92" s="1"/>
  <c r="K35" i="97"/>
  <c r="L35" i="97" s="1"/>
  <c r="AO14" i="84" l="1"/>
  <c r="J20" i="92"/>
  <c r="G17" i="127"/>
  <c r="H17" i="127" s="1"/>
  <c r="K17" i="127" s="1"/>
  <c r="K19" i="127" s="1"/>
  <c r="L19" i="127" s="1"/>
  <c r="K38" i="128"/>
  <c r="L38" i="128" s="1"/>
  <c r="K66" i="97"/>
  <c r="L66" i="97" s="1"/>
  <c r="J57" i="92"/>
  <c r="G54" i="97"/>
  <c r="H54" i="97" s="1"/>
  <c r="K54" i="97" s="1"/>
  <c r="K56" i="97" s="1"/>
  <c r="L56" i="97" s="1"/>
  <c r="G46" i="97"/>
  <c r="H46" i="97" s="1"/>
  <c r="K46" i="97" s="1"/>
  <c r="K47" i="97" s="1"/>
  <c r="R37" i="84"/>
  <c r="Q54" i="84"/>
  <c r="Q68" i="84" s="1"/>
  <c r="Q70" i="84" s="1"/>
  <c r="K57" i="128"/>
  <c r="L57" i="128" s="1"/>
  <c r="J90" i="92"/>
  <c r="L48" i="128"/>
  <c r="L89" i="128"/>
  <c r="K103" i="128"/>
  <c r="L103" i="128" s="1"/>
  <c r="J34" i="92"/>
  <c r="G34" i="127"/>
  <c r="H34" i="127" s="1"/>
  <c r="K34" i="127" s="1"/>
  <c r="G26" i="127"/>
  <c r="H26" i="127" s="1"/>
  <c r="K26" i="127" s="1"/>
  <c r="J35" i="92"/>
  <c r="G35" i="127"/>
  <c r="H35" i="127" s="1"/>
  <c r="K35" i="127" s="1"/>
  <c r="G27" i="127"/>
  <c r="H27" i="127" s="1"/>
  <c r="K27" i="127" s="1"/>
  <c r="J62" i="92"/>
  <c r="G66" i="127"/>
  <c r="H66" i="127" s="1"/>
  <c r="K66" i="127" s="1"/>
  <c r="J31" i="92"/>
  <c r="G31" i="127"/>
  <c r="H31" i="127" s="1"/>
  <c r="K31" i="127" s="1"/>
  <c r="J65" i="92"/>
  <c r="G70" i="127"/>
  <c r="H70" i="127" s="1"/>
  <c r="K70" i="127" s="1"/>
  <c r="J68" i="92"/>
  <c r="G72" i="127"/>
  <c r="H72" i="127" s="1"/>
  <c r="K72" i="127" s="1"/>
  <c r="J61" i="92"/>
  <c r="G65" i="127"/>
  <c r="H65" i="127" s="1"/>
  <c r="K65" i="127" s="1"/>
  <c r="J69" i="92"/>
  <c r="G73" i="127"/>
  <c r="H73" i="127" s="1"/>
  <c r="K73" i="127" s="1"/>
  <c r="J17" i="92"/>
  <c r="G14" i="127"/>
  <c r="H14" i="127" s="1"/>
  <c r="K14" i="127" s="1"/>
  <c r="J24" i="92"/>
  <c r="G24" i="127"/>
  <c r="H24" i="127" s="1"/>
  <c r="K24" i="127" s="1"/>
  <c r="J58" i="92"/>
  <c r="G63" i="127"/>
  <c r="H63" i="127" s="1"/>
  <c r="K63" i="127" s="1"/>
  <c r="K73" i="97"/>
  <c r="L73" i="97" s="1"/>
  <c r="J89" i="92"/>
  <c r="J45" i="92"/>
  <c r="J91" i="92"/>
  <c r="J87" i="92"/>
  <c r="J78" i="92"/>
  <c r="J80" i="92"/>
  <c r="J77" i="92"/>
  <c r="J79" i="92"/>
  <c r="J81" i="92"/>
  <c r="J88" i="92"/>
  <c r="J44" i="92"/>
  <c r="J76" i="92"/>
  <c r="J92" i="92"/>
  <c r="J73" i="92"/>
  <c r="J41" i="92"/>
  <c r="J52" i="92"/>
  <c r="K88" i="97"/>
  <c r="K100" i="97"/>
  <c r="L100" i="97" s="1"/>
  <c r="L27" i="97"/>
  <c r="K37" i="97"/>
  <c r="L37" i="97" s="1"/>
  <c r="L14" i="127" l="1"/>
  <c r="K21" i="127"/>
  <c r="L21" i="127" s="1"/>
  <c r="AO69" i="84"/>
  <c r="AP10" i="84"/>
  <c r="K67" i="127"/>
  <c r="L67" i="127" s="1"/>
  <c r="K59" i="128"/>
  <c r="L59" i="128" s="1"/>
  <c r="R49" i="84"/>
  <c r="R66" i="84" s="1"/>
  <c r="S32" i="84"/>
  <c r="K28" i="127"/>
  <c r="L28" i="127" s="1"/>
  <c r="K36" i="127"/>
  <c r="L36" i="127" s="1"/>
  <c r="K75" i="97"/>
  <c r="L75" i="97" s="1"/>
  <c r="K74" i="127"/>
  <c r="L74" i="127" s="1"/>
  <c r="L88" i="97"/>
  <c r="K102" i="97"/>
  <c r="L102" i="97" s="1"/>
  <c r="L47" i="97"/>
  <c r="K58" i="97"/>
  <c r="L58" i="97" s="1"/>
  <c r="AP14" i="84" l="1"/>
  <c r="R54" i="84"/>
  <c r="R68" i="84" s="1"/>
  <c r="R70" i="84" s="1"/>
  <c r="S37" i="84"/>
  <c r="K38" i="127"/>
  <c r="L38" i="127" s="1"/>
  <c r="K76" i="127"/>
  <c r="L76" i="127" s="1"/>
  <c r="AQ10" i="84" l="1"/>
  <c r="AP69" i="84"/>
  <c r="T32" i="84"/>
  <c r="S49" i="84"/>
  <c r="S66" i="84" s="1"/>
  <c r="AQ14" i="84" l="1"/>
  <c r="S54" i="84"/>
  <c r="S68" i="84" s="1"/>
  <c r="S70" i="84" s="1"/>
  <c r="T37" i="84"/>
  <c r="D10" i="108" l="1"/>
  <c r="D20" i="108" s="1"/>
  <c r="AQ69" i="84"/>
  <c r="U32" i="84"/>
  <c r="T49" i="84"/>
  <c r="T66" i="84" s="1"/>
  <c r="D26" i="19" l="1"/>
  <c r="T54" i="84"/>
  <c r="T68" i="84" s="1"/>
  <c r="T70" i="84" s="1"/>
  <c r="U37" i="84"/>
  <c r="V32" i="84" l="1"/>
  <c r="U49" i="84"/>
  <c r="U66" i="84" s="1"/>
  <c r="U54" i="84" l="1"/>
  <c r="U68" i="84" s="1"/>
  <c r="U70" i="84" s="1"/>
  <c r="V37" i="84"/>
  <c r="W32" i="84" l="1"/>
  <c r="V49" i="84"/>
  <c r="V66" i="84" s="1"/>
  <c r="V54" i="84" l="1"/>
  <c r="V68" i="84" s="1"/>
  <c r="V70" i="84" s="1"/>
  <c r="W37" i="84"/>
  <c r="X32" i="84" l="1"/>
  <c r="W49" i="84"/>
  <c r="W66" i="84" s="1"/>
  <c r="W54" i="84" l="1"/>
  <c r="W68" i="84" s="1"/>
  <c r="W70" i="84" s="1"/>
  <c r="X37" i="84"/>
  <c r="Y32" i="84" l="1"/>
  <c r="X49" i="84"/>
  <c r="X66" i="84" s="1"/>
  <c r="X54" i="84" l="1"/>
  <c r="X68" i="84" s="1"/>
  <c r="X70" i="84" s="1"/>
  <c r="Y37" i="84"/>
  <c r="Z32" i="84" l="1"/>
  <c r="Y49" i="84"/>
  <c r="Y66" i="84" s="1"/>
  <c r="Y54" i="84" l="1"/>
  <c r="Y68" i="84" s="1"/>
  <c r="Y70" i="84" s="1"/>
  <c r="Z37" i="84"/>
  <c r="AA32" i="84" l="1"/>
  <c r="Z49" i="84"/>
  <c r="Z66" i="84" s="1"/>
  <c r="Z54" i="84" l="1"/>
  <c r="Z68" i="84" s="1"/>
  <c r="Z70" i="84" s="1"/>
  <c r="AA37" i="84"/>
  <c r="AB32" i="84" s="1"/>
  <c r="AB37" i="84" l="1"/>
  <c r="AA49" i="84"/>
  <c r="AA66" i="84" s="1"/>
  <c r="AC32" i="84" l="1"/>
  <c r="AA54" i="84"/>
  <c r="AB49" i="84" s="1"/>
  <c r="AB54" i="84" l="1"/>
  <c r="AB66" i="84"/>
  <c r="AC37" i="84"/>
  <c r="AA68" i="84"/>
  <c r="AA70" i="84" s="1"/>
  <c r="AD32" i="84" l="1"/>
  <c r="AC49" i="84"/>
  <c r="AB68" i="84"/>
  <c r="AB70" i="84" s="1"/>
  <c r="AC54" i="84" l="1"/>
  <c r="AC66" i="84"/>
  <c r="AD37" i="84"/>
  <c r="AE32" i="84" l="1"/>
  <c r="AD49" i="84"/>
  <c r="AC68" i="84"/>
  <c r="AC70" i="84" s="1"/>
  <c r="AD54" i="84" l="1"/>
  <c r="AD66" i="84"/>
  <c r="AE37" i="84"/>
  <c r="AF32" i="84" l="1"/>
  <c r="AE49" i="84"/>
  <c r="AD68" i="84"/>
  <c r="AD70" i="84" s="1"/>
  <c r="AF37" i="84" l="1"/>
  <c r="AE54" i="84"/>
  <c r="AE66" i="84"/>
  <c r="AG32" i="84" l="1"/>
  <c r="AF49" i="84"/>
  <c r="AE68" i="84"/>
  <c r="AE70" i="84" s="1"/>
  <c r="AF54" i="84" l="1"/>
  <c r="AF66" i="84"/>
  <c r="AG37" i="84"/>
  <c r="AH32" i="84" l="1"/>
  <c r="AG49" i="84"/>
  <c r="AF68" i="84"/>
  <c r="AF70" i="84" s="1"/>
  <c r="AG54" i="84" l="1"/>
  <c r="AG66" i="84"/>
  <c r="AH37" i="84"/>
  <c r="AI32" i="84" l="1"/>
  <c r="AH49" i="84"/>
  <c r="AG68" i="84"/>
  <c r="AG70" i="84" s="1"/>
  <c r="AH54" i="84" l="1"/>
  <c r="AH66" i="84"/>
  <c r="AI37" i="84"/>
  <c r="AJ32" i="84" l="1"/>
  <c r="AI49" i="84"/>
  <c r="AH68" i="84"/>
  <c r="AH70" i="84" s="1"/>
  <c r="AI54" i="84" l="1"/>
  <c r="AI66" i="84"/>
  <c r="AJ37" i="84"/>
  <c r="AK32" i="84" l="1"/>
  <c r="AJ49" i="84"/>
  <c r="AI68" i="84"/>
  <c r="AI70" i="84" s="1"/>
  <c r="AJ54" i="84" l="1"/>
  <c r="AJ66" i="84"/>
  <c r="AK37" i="84"/>
  <c r="AL32" i="84" l="1"/>
  <c r="AK49" i="84"/>
  <c r="AJ68" i="84"/>
  <c r="AJ70" i="84" s="1"/>
  <c r="AK54" i="84" l="1"/>
  <c r="AK66" i="84"/>
  <c r="AL37" i="84"/>
  <c r="AM32" i="84" l="1"/>
  <c r="AL49" i="84"/>
  <c r="AK68" i="84"/>
  <c r="AK70" i="84" s="1"/>
  <c r="AL54" i="84" l="1"/>
  <c r="AL66" i="84"/>
  <c r="AM37" i="84"/>
  <c r="D12" i="108" l="1"/>
  <c r="AN32" i="84"/>
  <c r="AM49" i="84"/>
  <c r="AL68" i="84"/>
  <c r="AL70" i="84" s="1"/>
  <c r="D22" i="108" l="1"/>
  <c r="AN37" i="84"/>
  <c r="AM54" i="84"/>
  <c r="AM66" i="84"/>
  <c r="AM68" i="84" l="1"/>
  <c r="AM70" i="84" s="1"/>
  <c r="D14" i="108"/>
  <c r="AN49" i="84"/>
  <c r="AO32" i="84"/>
  <c r="D28" i="19"/>
  <c r="AN54" i="84" l="1"/>
  <c r="AN66" i="84"/>
  <c r="D24" i="108"/>
  <c r="D16" i="108"/>
  <c r="AO37" i="84"/>
  <c r="D30" i="19" l="1"/>
  <c r="D34" i="19" s="1"/>
  <c r="D38" i="19" s="1"/>
  <c r="D40" i="19" s="1"/>
  <c r="D26" i="108"/>
  <c r="AP32" i="84"/>
  <c r="AO49" i="84"/>
  <c r="AN68" i="84"/>
  <c r="AN70" i="84" s="1"/>
  <c r="AP37" i="84" l="1"/>
  <c r="AO54" i="84"/>
  <c r="AO66" i="84"/>
  <c r="D24" i="63"/>
  <c r="D26" i="63" s="1"/>
  <c r="D28" i="63" s="1"/>
  <c r="D30" i="63" s="1"/>
  <c r="D32" i="63" s="1"/>
  <c r="D34" i="63" s="1"/>
  <c r="D42" i="19" s="1"/>
  <c r="D44" i="19" s="1"/>
  <c r="D46" i="19" s="1"/>
  <c r="G14" i="92" l="1"/>
  <c r="G11" i="92"/>
  <c r="G12" i="128" s="1"/>
  <c r="H12" i="128" s="1"/>
  <c r="K12" i="128" s="1"/>
  <c r="D48" i="19"/>
  <c r="D50" i="19" s="1"/>
  <c r="E14" i="92"/>
  <c r="E11" i="92"/>
  <c r="AP49" i="84"/>
  <c r="AO68" i="84"/>
  <c r="AO70" i="84" s="1"/>
  <c r="AQ32" i="84"/>
  <c r="AQ37" i="84" l="1"/>
  <c r="AP54" i="84"/>
  <c r="AP66" i="84"/>
  <c r="L12" i="128"/>
  <c r="K105" i="128"/>
  <c r="L105" i="128" s="1"/>
  <c r="G11" i="97"/>
  <c r="H11" i="97" s="1"/>
  <c r="K11" i="97" s="1"/>
  <c r="G20" i="91"/>
  <c r="G23" i="91" s="1"/>
  <c r="H11" i="92"/>
  <c r="G12" i="127" s="1"/>
  <c r="H12" i="127" s="1"/>
  <c r="K12" i="127" s="1"/>
  <c r="J11" i="92"/>
  <c r="H14" i="92"/>
  <c r="J14" i="92" s="1"/>
  <c r="K105" i="127" l="1"/>
  <c r="L105" i="127" s="1"/>
  <c r="L12" i="127"/>
  <c r="G33" i="91"/>
  <c r="G39" i="91"/>
  <c r="H23" i="91"/>
  <c r="H33" i="91" s="1"/>
  <c r="H35" i="91" s="1"/>
  <c r="H36" i="91" s="1"/>
  <c r="H37" i="91" s="1"/>
  <c r="AQ49" i="84"/>
  <c r="AP68" i="84"/>
  <c r="AP70" i="84" s="1"/>
  <c r="K104" i="97"/>
  <c r="L104" i="97" s="1"/>
  <c r="L11" i="97"/>
  <c r="AQ54" i="84" l="1"/>
  <c r="AQ68" i="84" s="1"/>
  <c r="AQ70" i="84" s="1"/>
  <c r="AQ66"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 Piliaris</author>
  </authors>
  <commentList>
    <comment ref="A10" authorId="0" shapeId="0" xr:uid="{00000000-0006-0000-0200-000001000000}">
      <text>
        <r>
          <rPr>
            <b/>
            <sz val="9"/>
            <color indexed="81"/>
            <rFont val="Tahoma"/>
            <family val="2"/>
          </rPr>
          <t>Jon Piliaris:</t>
        </r>
        <r>
          <rPr>
            <sz val="9"/>
            <color indexed="81"/>
            <rFont val="Tahoma"/>
            <family val="2"/>
          </rPr>
          <t xml:space="preserve">
Doesn't include rate plan increases.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Schmidt</author>
  </authors>
  <commentList>
    <comment ref="AD52" authorId="0" shapeId="0" xr:uid="{00000000-0006-0000-0A00-000001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E52" authorId="0" shapeId="0" xr:uid="{00000000-0006-0000-0A00-000002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F52" authorId="0" shapeId="0" xr:uid="{00000000-0006-0000-0A00-000003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G52" authorId="0" shapeId="0" xr:uid="{00000000-0006-0000-0A00-000004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H52" authorId="0" shapeId="0" xr:uid="{00000000-0006-0000-0A00-000005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D61" authorId="0" shapeId="0" xr:uid="{00000000-0006-0000-0A00-000006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E61" authorId="0" shapeId="0" xr:uid="{00000000-0006-0000-0A00-000007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F61" authorId="0" shapeId="0" xr:uid="{00000000-0006-0000-0A00-000008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G61" authorId="0" shapeId="0" xr:uid="{00000000-0006-0000-0A00-000009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 ref="AH61" authorId="0" shapeId="0" xr:uid="{00000000-0006-0000-0A00-00000A000000}">
      <text>
        <r>
          <rPr>
            <b/>
            <sz val="9"/>
            <color indexed="81"/>
            <rFont val="Tahoma"/>
            <family val="2"/>
          </rPr>
          <t xml:space="preserve">Puget Sound Energy: </t>
        </r>
        <r>
          <rPr>
            <sz val="9"/>
            <color indexed="81"/>
            <rFont val="Tahoma"/>
            <family val="2"/>
          </rPr>
          <t xml:space="preserve">Adjusted to remove interest adjustment above to prevent double counting the adjustment.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jphelp</author>
  </authors>
  <commentList>
    <comment ref="B8" authorId="0" shapeId="0" xr:uid="{00000000-0006-0000-0C00-000001000000}">
      <text>
        <r>
          <rPr>
            <b/>
            <sz val="8"/>
            <color indexed="81"/>
            <rFont val="Tahoma"/>
            <family val="2"/>
          </rPr>
          <t>PSE:</t>
        </r>
        <r>
          <rPr>
            <sz val="8"/>
            <color indexed="81"/>
            <rFont val="Tahoma"/>
            <family val="2"/>
          </rPr>
          <t xml:space="preserve">
Load forecast does not specify Schedule 16. Actual Schedule 16 for year ended Dec 2015 and removed from Schedule 23 forecasted volume.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Puget Sound Energy</author>
  </authors>
  <commentList>
    <comment ref="G16" authorId="0" shapeId="0" xr:uid="{00000000-0006-0000-1400-000001000000}">
      <text>
        <r>
          <rPr>
            <b/>
            <sz val="9"/>
            <color indexed="81"/>
            <rFont val="Tahoma"/>
            <family val="2"/>
          </rPr>
          <t>Puget Sound Energy:</t>
        </r>
        <r>
          <rPr>
            <sz val="9"/>
            <color indexed="81"/>
            <rFont val="Tahoma"/>
            <family val="2"/>
          </rPr>
          <t xml:space="preserve">
In the ERF test year (YE June 2012) there was no usage for schedule 31T so used the margin rate for schedule 31.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Paul Schmidt</author>
  </authors>
  <commentList>
    <comment ref="P44" authorId="0" shapeId="0" xr:uid="{00000000-0006-0000-2300-000001000000}">
      <text>
        <r>
          <rPr>
            <b/>
            <sz val="9"/>
            <color indexed="81"/>
            <rFont val="Tahoma"/>
            <family val="2"/>
          </rPr>
          <t>Paul Schmidt:</t>
        </r>
        <r>
          <rPr>
            <sz val="9"/>
            <color indexed="81"/>
            <rFont val="Tahoma"/>
            <family val="2"/>
          </rPr>
          <t xml:space="preserve">
Represents Revenue Per Customer including schedules 85, 85T, 87 &amp; 87T
</t>
        </r>
      </text>
    </comment>
  </commentList>
</comments>
</file>

<file path=xl/sharedStrings.xml><?xml version="1.0" encoding="utf-8"?>
<sst xmlns="http://schemas.openxmlformats.org/spreadsheetml/2006/main" count="2132" uniqueCount="685">
  <si>
    <t>Residential Rates</t>
  </si>
  <si>
    <t>Modification of Existing Facility</t>
  </si>
  <si>
    <t>New Facility Extension</t>
  </si>
  <si>
    <t>Basic Charge</t>
  </si>
  <si>
    <t xml:space="preserve">  - Months per Year</t>
  </si>
  <si>
    <t>Annual Basic Charge Revenue</t>
  </si>
  <si>
    <t>Annual Allowed Revenue Per Customer</t>
  </si>
  <si>
    <t>Annual Revenue</t>
  </si>
  <si>
    <t>After-Tax Return Grossed Up For Taxes</t>
  </si>
  <si>
    <t>Allowance</t>
  </si>
  <si>
    <t>Annual Therm Per Customer (ERF Filing)</t>
  </si>
  <si>
    <t>Allowance Per Therm</t>
  </si>
  <si>
    <t>Non-Residential Rates (31/31T/41/41T/86/86T)</t>
  </si>
  <si>
    <t>Average Monthly Basic Charge</t>
  </si>
  <si>
    <t>Annual Average Basic  Charge Revenue</t>
  </si>
  <si>
    <t>Allowance Per Customer</t>
  </si>
  <si>
    <t>Non-Residential Rates (85/85T/87/87T)</t>
  </si>
  <si>
    <t>Sch 85/85T</t>
  </si>
  <si>
    <t>Sch 87/87T</t>
  </si>
  <si>
    <t>Annual Margin Revenue (ERF Filing)</t>
  </si>
  <si>
    <t>Number of Customers (ERF Filing)</t>
  </si>
  <si>
    <t>Annual "Allowed" Revenue Per Customer</t>
  </si>
  <si>
    <t>Puget Sound Energy</t>
  </si>
  <si>
    <t>2016 Gas Decoupling Filing</t>
  </si>
  <si>
    <t>Development of Residential &amp; Non-Residential Delivery Cost Energy Rate and Rate Change</t>
  </si>
  <si>
    <t>Proposed Effective May 1, 2016</t>
  </si>
  <si>
    <t>Line No.</t>
  </si>
  <si>
    <t>Source</t>
  </si>
  <si>
    <t>Residential</t>
  </si>
  <si>
    <t>Non-Residential Schedules*</t>
  </si>
  <si>
    <t>(a)</t>
  </si>
  <si>
    <t>(b)</t>
  </si>
  <si>
    <t>(c)</t>
  </si>
  <si>
    <t>(d)</t>
  </si>
  <si>
    <t>Test Year Allowed Delivery Revenue</t>
  </si>
  <si>
    <t>UG-130138 WP</t>
  </si>
  <si>
    <t>Less: Test Year Basic &amp; Minimum Charge Revenue</t>
  </si>
  <si>
    <t xml:space="preserve">Test Year Volumetric Delivery Revenue </t>
  </si>
  <si>
    <t>Test Year Base Sales (Therms)</t>
  </si>
  <si>
    <t>Test Year Volumetric Delivery Revenue Per Unit ($/Therm)</t>
  </si>
  <si>
    <t>2016 Allowed Volumetric Delivery Revenue Per Customer</t>
  </si>
  <si>
    <t>UG-121705</t>
  </si>
  <si>
    <t>Forecasted Rate Year Customer Count</t>
  </si>
  <si>
    <t>Exhibit 9</t>
  </si>
  <si>
    <t>Forecasted Rate Year Allowed Volumetric Delivery Revenue</t>
  </si>
  <si>
    <t>Estimated Amortization Balance as of April 30, 2016</t>
  </si>
  <si>
    <t>Exhibit 5</t>
  </si>
  <si>
    <t>Deferred Balance at End of CY 2015</t>
  </si>
  <si>
    <t>Interest Balance at End of CY 2015</t>
  </si>
  <si>
    <t>2015 Earnings Test Adjustment</t>
  </si>
  <si>
    <t>Exhibit 4</t>
  </si>
  <si>
    <t>Estimated Recoverable Volumetric Delivery Revenue</t>
  </si>
  <si>
    <t>Forecasted Rate Year Base Sales (Therms)</t>
  </si>
  <si>
    <t>Rate Year Total Delivery Rate Per Unit ($/Therm)</t>
  </si>
  <si>
    <t>Change in Total Delivery Rate Per Unit ($/Therm)</t>
  </si>
  <si>
    <t>Post-Rate Test Change in Total Delivery Rate Per Unit ($/Therm)**</t>
  </si>
  <si>
    <t>Exhibit 2</t>
  </si>
  <si>
    <t>Post-Rate Test Deferred Balance to Recover/(Refund)</t>
  </si>
  <si>
    <t>Calculation</t>
  </si>
  <si>
    <t xml:space="preserve">Post-Rate Test Total Balance for Amortization </t>
  </si>
  <si>
    <t>Rate Year Change in Total Delivery Revenue</t>
  </si>
  <si>
    <t>Change from Rate Year Volumetric Delivery Revenue Per Unit</t>
  </si>
  <si>
    <t>Rate Year Volumetric Delivery Revenue Per Unit ($/Therm)</t>
  </si>
  <si>
    <t xml:space="preserve">* Includes Schedules 31, 31T, 41, 41T, 86, &amp; 86T.  </t>
  </si>
  <si>
    <t>** For residential customers, this is the Schedule 142 rate.</t>
  </si>
  <si>
    <t>PUGET SOUND ENERGY-ELECTRIC</t>
  </si>
  <si>
    <t>PRO FORMA COST OF CAPITAL</t>
  </si>
  <si>
    <t>FOR THE TWELVE MONTHS ENDED DECEMBER 31, 2010</t>
  </si>
  <si>
    <t xml:space="preserve">2011 GENERAL RATE INCREASE WITH NEW PCB COSTS </t>
  </si>
  <si>
    <t>LINE</t>
  </si>
  <si>
    <t>PRO FORMA</t>
  </si>
  <si>
    <t>COST OF</t>
  </si>
  <si>
    <t>NO.</t>
  </si>
  <si>
    <t>DESCRIPTION</t>
  </si>
  <si>
    <t>CAPITAL %</t>
  </si>
  <si>
    <t>COST %</t>
  </si>
  <si>
    <t>CAPITAL</t>
  </si>
  <si>
    <t>SHORT TERM DEBT</t>
  </si>
  <si>
    <t>LONG TERM DEBT</t>
  </si>
  <si>
    <t>PREFERRED</t>
  </si>
  <si>
    <t>EQUITY</t>
  </si>
  <si>
    <t>TOTAL</t>
  </si>
  <si>
    <t>AFTER TAX SHORT TERM DEBT ( (LINE 1)* 65%)</t>
  </si>
  <si>
    <t>AFTER TAX LONG TERM DEBT ( (LINE 2)* 65%)</t>
  </si>
  <si>
    <t>TOTAL AFTER TAX COST OF CAPITAL</t>
  </si>
  <si>
    <t>PUGET SOUND ENERGY-GAS</t>
  </si>
  <si>
    <t>CONVERSION FACTOR - GAS</t>
  </si>
  <si>
    <t>FOR THE TWELVE MONTHS ENDED JUNE 30, 2012</t>
  </si>
  <si>
    <t>COMMISSION BASIS REPORT</t>
  </si>
  <si>
    <t>RATE</t>
  </si>
  <si>
    <t>BAD DEBTS</t>
  </si>
  <si>
    <t>ANNUAL FILING FEE</t>
  </si>
  <si>
    <t>SUM OF TAXES OTHER</t>
  </si>
  <si>
    <t>CONVERSION FACTOR EXCLUDING FEDERAL INCOME TAX ( 1 - LINE 5)</t>
  </si>
  <si>
    <t>FEDERAL INCOME TAX ( LINE 7 * 35%)</t>
  </si>
  <si>
    <t xml:space="preserve">CONVERSION FACTOR INCL FEDERAL INCOME TAX ( LINE 5 + LINE 8 ) </t>
  </si>
  <si>
    <t>After Tax Cost of Capital Grossed Up for Taxes</t>
  </si>
  <si>
    <t>3% Rate Test</t>
  </si>
  <si>
    <t>CY 2015 Normalized Revenues**</t>
  </si>
  <si>
    <t>Work Paper</t>
  </si>
  <si>
    <t>Less: Schedule 142 Revenues</t>
  </si>
  <si>
    <t>Adjusted ERF Normalized Revenues</t>
  </si>
  <si>
    <t>(2) - (4)</t>
  </si>
  <si>
    <t>CY 2015 Normalized Sales (Therms)</t>
  </si>
  <si>
    <t>Average Rate ($/Therm)</t>
  </si>
  <si>
    <t>(6) / (8)</t>
  </si>
  <si>
    <t>Plus: Current Adjustment to Volumetric Delivery Revenue per Unit ($/Therm)</t>
  </si>
  <si>
    <t>2015 Filing</t>
  </si>
  <si>
    <t>Average Rate Including Schedule 142 ($/Therm)</t>
  </si>
  <si>
    <t>(10) + (12)</t>
  </si>
  <si>
    <t>Proposed Adjustment to Volumetric Delivery Revenue per Unit ($/Therm)</t>
  </si>
  <si>
    <t>Exhibit 1</t>
  </si>
  <si>
    <t>Incremental Change in Volumetric Delivery Revenue per Unit ($/Therm)</t>
  </si>
  <si>
    <t>(16) - (12)</t>
  </si>
  <si>
    <t>% Change to Revenues</t>
  </si>
  <si>
    <t>(18) / (14)</t>
  </si>
  <si>
    <t>% above 3% Maximum</t>
  </si>
  <si>
    <t>Adjustment to Volumetric Delivery Revenue per Unit ($/Therm)</t>
  </si>
  <si>
    <t>(14) x (22)</t>
  </si>
  <si>
    <t>Post-Rate Test Volumetric Delivery Revenue per Unit ($/Therm)</t>
  </si>
  <si>
    <t>(16) - (24)</t>
  </si>
  <si>
    <t>** Includes gas cost for transportation customers (See second footnote of page 2 of exhibit JAP-19 filed in docket UG-121705)</t>
  </si>
  <si>
    <t>Gas Earnings Test</t>
  </si>
  <si>
    <t>Restated Rate Base</t>
  </si>
  <si>
    <t>Commission basis report pg 1.01 line b</t>
  </si>
  <si>
    <t>Threshold (Authorized ROR)</t>
  </si>
  <si>
    <t>UG-130138</t>
  </si>
  <si>
    <t>Maximum Net Operating Income</t>
  </si>
  <si>
    <t>line 1 x line 2</t>
  </si>
  <si>
    <t>Restated Net Operating Income</t>
  </si>
  <si>
    <t>Commission basis report pg 1.01 line a</t>
  </si>
  <si>
    <t>Difference</t>
  </si>
  <si>
    <t>line 4 - line 3</t>
  </si>
  <si>
    <t>Excess Earnings</t>
  </si>
  <si>
    <t>Greater of zero or line 5</t>
  </si>
  <si>
    <t>Earnings Sharing Percentage</t>
  </si>
  <si>
    <t>Pre-Tax Earnings Sharing</t>
  </si>
  <si>
    <t>line 6 x line 7</t>
  </si>
  <si>
    <t>Net to Gross Conversion Factor</t>
  </si>
  <si>
    <t>ERF (UG-130138)</t>
  </si>
  <si>
    <t>Earnings Sharing for CY 2015</t>
  </si>
  <si>
    <t>line 8 / line 9</t>
  </si>
  <si>
    <t>Earnings Test Allocation</t>
  </si>
  <si>
    <t>Total</t>
  </si>
  <si>
    <t>Non-Residential*</t>
  </si>
  <si>
    <t>(e)</t>
  </si>
  <si>
    <t xml:space="preserve">January 2015 - December 2015 Margin Revenue </t>
  </si>
  <si>
    <t>Allocation Factor</t>
  </si>
  <si>
    <t>% of 2c</t>
  </si>
  <si>
    <t xml:space="preserve">   Total Earnings Sharing </t>
  </si>
  <si>
    <t>Exhibit 3</t>
  </si>
  <si>
    <t xml:space="preserve">   Allocation of Earnings Sharing</t>
  </si>
  <si>
    <t>(6c) x (4)</t>
  </si>
  <si>
    <t>Recovery of Deferral Balance by Rate Group</t>
  </si>
  <si>
    <t>Exhibit 7</t>
  </si>
  <si>
    <t>Deferral Balance at End of CY 2015</t>
  </si>
  <si>
    <t xml:space="preserve">Total Balance   </t>
  </si>
  <si>
    <t>(2) + (4) + (6)</t>
  </si>
  <si>
    <t>Conversion Factor</t>
  </si>
  <si>
    <t>Amortization Balance including Revenue Senstive Items</t>
  </si>
  <si>
    <t>(2) / (10)</t>
  </si>
  <si>
    <t>Estimated Deferral Balance including Revenue Sensitive Items</t>
  </si>
  <si>
    <t>(4) / (10)</t>
  </si>
  <si>
    <t>Interest Balance including Revenue Sensitive Items</t>
  </si>
  <si>
    <t>(6) / (10)</t>
  </si>
  <si>
    <t>Total Balance including Revenue Sensitive Items</t>
  </si>
  <si>
    <t>(12) + (14) + (16)</t>
  </si>
  <si>
    <t>Development of Non-Residential Schedule 142 Rate by Rate Schedule</t>
  </si>
  <si>
    <t>Line</t>
  </si>
  <si>
    <t>Schedule 142</t>
  </si>
  <si>
    <t xml:space="preserve">Proposed Rates </t>
  </si>
  <si>
    <t>Proposed 142</t>
  </si>
  <si>
    <t>No.</t>
  </si>
  <si>
    <t>Units</t>
  </si>
  <si>
    <t>Rates</t>
  </si>
  <si>
    <t>Adder % *</t>
  </si>
  <si>
    <t>w/ Sch 142 Rates</t>
  </si>
  <si>
    <t>Adjusting Rates</t>
  </si>
  <si>
    <t>(e) = (c) x (d)</t>
  </si>
  <si>
    <t>(f) = (e) - (c)</t>
  </si>
  <si>
    <t>Schedule 31 Commercial &amp; Industrial - Sales</t>
  </si>
  <si>
    <t>Delivery Charge</t>
  </si>
  <si>
    <t>$/Therm</t>
  </si>
  <si>
    <t>Schedule 31 Commercial &amp; Industrial - Transportation</t>
  </si>
  <si>
    <t>Procurement Credit</t>
  </si>
  <si>
    <t>Schedule 41 Large Volume High Load Factor - Sales</t>
  </si>
  <si>
    <t>Demand Charge</t>
  </si>
  <si>
    <t>Delivery Charge:</t>
  </si>
  <si>
    <t>Next 4,100 therms</t>
  </si>
  <si>
    <t>All over 5,000 therms</t>
  </si>
  <si>
    <t>Schedule 41 Large Volume High Load Factor - Transportation</t>
  </si>
  <si>
    <t>Schedule 86 Limited Interruptible - Sales</t>
  </si>
  <si>
    <t>Procurement Charge</t>
  </si>
  <si>
    <t>First 1,000 therms</t>
  </si>
  <si>
    <t>All over 1,000 therms</t>
  </si>
  <si>
    <t>Schedule 86 Limited Interruptible - Transportation</t>
  </si>
  <si>
    <t>* Source: Exhibit 1, row 42, column (d)</t>
  </si>
  <si>
    <t>Decoupling Account Balance</t>
  </si>
  <si>
    <t>Actual</t>
  </si>
  <si>
    <t>Projected</t>
  </si>
  <si>
    <t>Acct No.</t>
  </si>
  <si>
    <t xml:space="preserve">Residential Decoupling Refund/Surcharge Amortization </t>
  </si>
  <si>
    <t>18239082 or</t>
  </si>
  <si>
    <t>Beginning</t>
  </si>
  <si>
    <t>Transfer Deferral Amounts to Surcharge/Refund Account</t>
  </si>
  <si>
    <t>Surcharge/Refund Amortization</t>
  </si>
  <si>
    <t>Total Month</t>
  </si>
  <si>
    <t>Ending</t>
  </si>
  <si>
    <t xml:space="preserve">Non-Residential Decoupling Refund/Surcharge Amortization </t>
  </si>
  <si>
    <t>18239092 or</t>
  </si>
  <si>
    <t xml:space="preserve">Sch. 85, 85T, 87, 87T Decoupling Refund/Surcharge Amortization </t>
  </si>
  <si>
    <t>Allocate Deferral &amp; Interest Amounts to Sch. 85, 85T, 87, 87T</t>
  </si>
  <si>
    <t>Current Residential Decoupling Deferral</t>
  </si>
  <si>
    <t>18238142 or</t>
  </si>
  <si>
    <t>Adjustment to Remove Amortization from Actual Revenue</t>
  </si>
  <si>
    <t>PSE Deferral</t>
  </si>
  <si>
    <t>Current Non-Residential Decoupling Deferral</t>
  </si>
  <si>
    <t>18238152 or</t>
  </si>
  <si>
    <t>Allocate Deferral Amounts to Sch. 85, 85T, 87, 87T</t>
  </si>
  <si>
    <t>Interest on Residential Decoupling Deferral</t>
  </si>
  <si>
    <t>18238162 or</t>
  </si>
  <si>
    <t>Activity (19100012)</t>
  </si>
  <si>
    <t>Interest on Non-Residential Decoupling Deferral</t>
  </si>
  <si>
    <t>18238172 or</t>
  </si>
  <si>
    <t>Allocate Interest Amounts to Sch. 85, 85T, 87, 87T</t>
  </si>
  <si>
    <t>Activity (19100022)</t>
  </si>
  <si>
    <t xml:space="preserve">Total </t>
  </si>
  <si>
    <t>Less:  Acct. being Amortized</t>
  </si>
  <si>
    <t>Current Period Under/(Over) Recovered</t>
  </si>
  <si>
    <t>Estimated Amortization through April 2016</t>
  </si>
  <si>
    <t>Therms</t>
  </si>
  <si>
    <t>Deferral Amortization Rate ($/Therm)</t>
  </si>
  <si>
    <t>Deferral Amortization</t>
  </si>
  <si>
    <t>Remove Rev Sensitive Items (Conversion Factor)</t>
  </si>
  <si>
    <t>Deferral Amortization Net of Rev Sensitive Items</t>
  </si>
  <si>
    <t>Deferral Amortization Rate ($/Therm)*</t>
  </si>
  <si>
    <t>*Represents a blended rate not the tariffed rates</t>
  </si>
  <si>
    <t>Forecast Delivered Sales Volumes and Customer Counts</t>
  </si>
  <si>
    <t>Projected Delivered Sales Volume by Month (Therms)</t>
  </si>
  <si>
    <t>12ME Apr 2017</t>
  </si>
  <si>
    <t>Rate Schedule</t>
  </si>
  <si>
    <t>31T</t>
  </si>
  <si>
    <t>41T</t>
  </si>
  <si>
    <t>85T</t>
  </si>
  <si>
    <t>86T</t>
  </si>
  <si>
    <t>87T</t>
  </si>
  <si>
    <t xml:space="preserve">Projected Customers by Month </t>
  </si>
  <si>
    <t>Average</t>
  </si>
  <si>
    <t>Source: F2015 Load Forecast (Delivered Volumes)</t>
  </si>
  <si>
    <t>Summary of Proposed Rates</t>
  </si>
  <si>
    <t xml:space="preserve">Total Proposed  </t>
  </si>
  <si>
    <t>Schedule 142 Rate</t>
  </si>
  <si>
    <t xml:space="preserve">Schedule 142 </t>
  </si>
  <si>
    <t>Deferral</t>
  </si>
  <si>
    <t>Amortization</t>
  </si>
  <si>
    <t>K-Factor</t>
  </si>
  <si>
    <t>Check</t>
  </si>
  <si>
    <t>Schedule 23 Residential</t>
  </si>
  <si>
    <t>Schedule 53 Residential Propane</t>
  </si>
  <si>
    <t>Schedule 85 Interruptible - Sales *</t>
  </si>
  <si>
    <t>$/Month</t>
  </si>
  <si>
    <t>First 25,000 Therms</t>
  </si>
  <si>
    <t>Next 25,000 Therms</t>
  </si>
  <si>
    <t>All over 50,000 Therms</t>
  </si>
  <si>
    <t>Schedule 85 Interruptible - Transportation *</t>
  </si>
  <si>
    <t>Next 50,000 Therms</t>
  </si>
  <si>
    <t>Schedule 87 Non-exclusive Interruptible - Sales *</t>
  </si>
  <si>
    <t>Next 100,000 therms</t>
  </si>
  <si>
    <t>Next 300,000 therms</t>
  </si>
  <si>
    <t>All over 500,000 therms</t>
  </si>
  <si>
    <t>Schedule 87 Non-exclusive Interruptible - Transportation *</t>
  </si>
  <si>
    <t>* Rates for Schedules 85, 85T, 87 &amp; 87T include Rate Plan rates that are already in effect</t>
  </si>
  <si>
    <t>Sch. 142 Deferral Amortization Rate Change Impacts by Rate Schedule</t>
  </si>
  <si>
    <t>Sch 142</t>
  </si>
  <si>
    <t>Proposed</t>
  </si>
  <si>
    <t>Deferral Amort.</t>
  </si>
  <si>
    <t>Forecasted</t>
  </si>
  <si>
    <t>Rate</t>
  </si>
  <si>
    <t>Current</t>
  </si>
  <si>
    <t xml:space="preserve">Proposed </t>
  </si>
  <si>
    <t xml:space="preserve">Net </t>
  </si>
  <si>
    <t>Volume</t>
  </si>
  <si>
    <t>Revenue at</t>
  </si>
  <si>
    <t>Decoupling</t>
  </si>
  <si>
    <t>Percent</t>
  </si>
  <si>
    <t>#</t>
  </si>
  <si>
    <t>Customer Class</t>
  </si>
  <si>
    <t>Schedule</t>
  </si>
  <si>
    <t>Change</t>
  </si>
  <si>
    <t>Current Rates</t>
  </si>
  <si>
    <t>Revenue</t>
  </si>
  <si>
    <t>(f)</t>
  </si>
  <si>
    <t>(g)</t>
  </si>
  <si>
    <t>(h)</t>
  </si>
  <si>
    <t>(i)</t>
  </si>
  <si>
    <t>23/53</t>
  </si>
  <si>
    <t>Commercial &amp; industrial</t>
  </si>
  <si>
    <t>Commercial &amp; Industrial - Trans.</t>
  </si>
  <si>
    <t>Total Commercial &amp; Industrial</t>
  </si>
  <si>
    <t>31/31T</t>
  </si>
  <si>
    <t>Large volume</t>
  </si>
  <si>
    <t>901 to 5,000 therms</t>
  </si>
  <si>
    <t>Over 5,000 therms</t>
  </si>
  <si>
    <t>Large volume - Trans.</t>
  </si>
  <si>
    <t>Large Volume Total</t>
  </si>
  <si>
    <t>41/41T</t>
  </si>
  <si>
    <t>Interruptible</t>
  </si>
  <si>
    <t xml:space="preserve">Basic Service Charge </t>
  </si>
  <si>
    <t>First 25,000 therms</t>
  </si>
  <si>
    <t>Next 25,000 therms</t>
  </si>
  <si>
    <t>Over 50,000 therms</t>
  </si>
  <si>
    <t>Interruptible - Trans.</t>
  </si>
  <si>
    <t>Interruptible Total</t>
  </si>
  <si>
    <t>85/85T</t>
  </si>
  <si>
    <t>Limited Interruptible</t>
  </si>
  <si>
    <t>Over 1,000 therms</t>
  </si>
  <si>
    <t>Limited Interruptible - Trans.</t>
  </si>
  <si>
    <t>Limited Interruptible Total</t>
  </si>
  <si>
    <t>86/86T</t>
  </si>
  <si>
    <t>Next 50,000 therms</t>
  </si>
  <si>
    <t>Over 500,000 therms</t>
  </si>
  <si>
    <t>Non-Exclusive Interruptible Total</t>
  </si>
  <si>
    <t>87/87T</t>
  </si>
  <si>
    <t>Sch. 142 K-Factor Rate Change Impacts by Rate Schedule</t>
  </si>
  <si>
    <t>Sch. 142 Total Rate Change Impacts by Rate Schedule</t>
  </si>
  <si>
    <t>YE Apr 2017</t>
  </si>
  <si>
    <t>(e) = (d) - (c)</t>
  </si>
  <si>
    <t>(h) = (e) x (f)</t>
  </si>
  <si>
    <t>(i) = (h) / (g)</t>
  </si>
  <si>
    <t>Commercial &amp; Industrial</t>
  </si>
  <si>
    <t>Typical Residential Bill Impact of 2016 Change to Schedule 142 Decoupling</t>
  </si>
  <si>
    <t>Schedule 142 Change</t>
  </si>
  <si>
    <t>Rates (1)</t>
  </si>
  <si>
    <t>Charges</t>
  </si>
  <si>
    <t>Volume (therms)</t>
  </si>
  <si>
    <t>Customer charge ($/month)</t>
  </si>
  <si>
    <t>Basic charge</t>
  </si>
  <si>
    <t>ERF (2) adjusting charge (Schedule 141)</t>
  </si>
  <si>
    <t>Subtotal</t>
  </si>
  <si>
    <t>Volumetric charges ($/therm)</t>
  </si>
  <si>
    <t>Delivery charge (Schedule 23)</t>
  </si>
  <si>
    <t>Property tax charge (Schedule 140)</t>
  </si>
  <si>
    <t>Decoupling charge (Schedule 142)</t>
  </si>
  <si>
    <t>Low income charge (Schedule 129)</t>
  </si>
  <si>
    <t>Cost Recovery Mechanism (CRM)</t>
  </si>
  <si>
    <t>Conservation charge (Schedule 120)</t>
  </si>
  <si>
    <t>Merger rate credit (Schedule 132)</t>
  </si>
  <si>
    <t>Cost of gas (Schedule 101)</t>
  </si>
  <si>
    <t>Deferral amortization (Schedule 106)</t>
  </si>
  <si>
    <t>Deferral amortization (Schedule 106-A)</t>
  </si>
  <si>
    <t>Total volumetric charges</t>
  </si>
  <si>
    <t>Total monthly bill</t>
  </si>
  <si>
    <t>Change from bill under current rates</t>
  </si>
  <si>
    <t>Percent change from bill under current rates</t>
  </si>
  <si>
    <t>Total volumetric rates less gas costs</t>
  </si>
  <si>
    <t>(1) Rates for Schedule 23 customers in effect January 1, 2016</t>
  </si>
  <si>
    <t>(2) Expedited Rate Filing (ERF)</t>
  </si>
  <si>
    <t>K-Factor Impact on Revenue</t>
  </si>
  <si>
    <t>(j)</t>
  </si>
  <si>
    <t>(k)</t>
  </si>
  <si>
    <t>(l)</t>
  </si>
  <si>
    <t>(m)</t>
  </si>
  <si>
    <t>(n)</t>
  </si>
  <si>
    <t>ERF Volumetric Revenue Per Customer</t>
  </si>
  <si>
    <t>2015 Allowed Volumetric Revenue Per Customer</t>
  </si>
  <si>
    <t>K-Factor Volumetric Revenue Per Customer</t>
  </si>
  <si>
    <t>Actual Customer Count</t>
  </si>
  <si>
    <t>Residential K-Factor Revenue</t>
  </si>
  <si>
    <t>Non-Residential K-Factor Revenue</t>
  </si>
  <si>
    <t>Total K-Factor Revenue</t>
  </si>
  <si>
    <t xml:space="preserve">* Includes Schedules 31, 31T, 41, 41T, 86 &amp; 86T. </t>
  </si>
  <si>
    <t>Estimated Revenue at Current Rates</t>
  </si>
  <si>
    <t>Sch 142 Margin</t>
  </si>
  <si>
    <t>2015 Property</t>
  </si>
  <si>
    <t>2015 CRM</t>
  </si>
  <si>
    <t>2015 PGA</t>
  </si>
  <si>
    <t>Margin</t>
  </si>
  <si>
    <t>at UG-121705</t>
  </si>
  <si>
    <t>Margin Rate</t>
  </si>
  <si>
    <t>Tax Sch. 140</t>
  </si>
  <si>
    <t>Sch. 149</t>
  </si>
  <si>
    <t>Prop. &amp; CRM</t>
  </si>
  <si>
    <t>Sch. 101</t>
  </si>
  <si>
    <t>Sch. 106</t>
  </si>
  <si>
    <t>Gas Cost</t>
  </si>
  <si>
    <t>Rate Class</t>
  </si>
  <si>
    <t>(Therms) (1)</t>
  </si>
  <si>
    <t>Revenue (1)</t>
  </si>
  <si>
    <t>Rates (2)</t>
  </si>
  <si>
    <t>Trans. Commercial &amp; Industrial</t>
  </si>
  <si>
    <t>Trans. Large volume</t>
  </si>
  <si>
    <t>Trans. Interruptible</t>
  </si>
  <si>
    <t>Trans. Limited Interruptible</t>
  </si>
  <si>
    <t>Non Exclusive Interruptible</t>
  </si>
  <si>
    <t>Trans. Non Exclusive Interrupt.</t>
  </si>
  <si>
    <t>Rentals</t>
  </si>
  <si>
    <t>71,72,74</t>
  </si>
  <si>
    <t xml:space="preserve">(1) Weather normalized volume and revenue for the 12 months ending June 30, 2012 from UG-130138 Expedited Rate Filing (ERF) compliance filing.  </t>
  </si>
  <si>
    <t>(2) Estimated customer impact of Schedule 142 rates effective January 1, 2016 based on ERF test year ended June 2012 volume.</t>
  </si>
  <si>
    <t>Sch. 142 Rate Change Effective January 1, 2016</t>
  </si>
  <si>
    <t xml:space="preserve">Schedule 142 Revenues Over ERF Rates </t>
  </si>
  <si>
    <t>ERF</t>
  </si>
  <si>
    <t>YE June 2012 (1)</t>
  </si>
  <si>
    <t>Gas Lighting</t>
  </si>
  <si>
    <t>Schedule 71 - Residential Water Heater Rental Service</t>
  </si>
  <si>
    <t xml:space="preserve">Standard Models </t>
  </si>
  <si>
    <t>71G-A</t>
  </si>
  <si>
    <t xml:space="preserve">Conservation Models </t>
  </si>
  <si>
    <t>71G-B</t>
  </si>
  <si>
    <t xml:space="preserve">Direct Vent Models </t>
  </si>
  <si>
    <t>71G-C</t>
  </si>
  <si>
    <t xml:space="preserve">High Recovery Models </t>
  </si>
  <si>
    <t>71G-D</t>
  </si>
  <si>
    <t xml:space="preserve">High Efficiency Standard (Energy Factor ≥.60)  </t>
  </si>
  <si>
    <t>71G-E</t>
  </si>
  <si>
    <t xml:space="preserve">High Efficiency Direct Vent (Energy Factor ≥.60) </t>
  </si>
  <si>
    <t>71G-F</t>
  </si>
  <si>
    <t>Schedule 72 - Large Volume Water Heater Rental Service</t>
  </si>
  <si>
    <t xml:space="preserve">25 - 40 gallon storage 30,000 to 50,000 </t>
  </si>
  <si>
    <t>72G-F</t>
  </si>
  <si>
    <t xml:space="preserve">45 - 55 gallon storage 70,000 to 79,000 </t>
  </si>
  <si>
    <t>72G-G</t>
  </si>
  <si>
    <t xml:space="preserve">45 - 55 gallon storage 51,000 to 75,000 </t>
  </si>
  <si>
    <t>72G-H</t>
  </si>
  <si>
    <t xml:space="preserve">50 - 65 gallon storage 60,000 to 69,000 </t>
  </si>
  <si>
    <t>72G-I</t>
  </si>
  <si>
    <t xml:space="preserve">60 - 84 gallon storage 70,000 to 129,000 </t>
  </si>
  <si>
    <t>72G-J</t>
  </si>
  <si>
    <t xml:space="preserve">75 - 90 gallon storage 130,000 to 169,000 </t>
  </si>
  <si>
    <t>72G-K</t>
  </si>
  <si>
    <t xml:space="preserve">75 - 100 gallon storage 170,000 to 200,000 </t>
  </si>
  <si>
    <t>72G-L</t>
  </si>
  <si>
    <t>Total Margin Revenue</t>
  </si>
  <si>
    <t>Schedule 74 - Gas Conversion Burner Rental Service</t>
  </si>
  <si>
    <t xml:space="preserve">45,000 to 400,000 Standard Models </t>
  </si>
  <si>
    <t>74G-A</t>
  </si>
  <si>
    <t xml:space="preserve">401,000 to 700,000 Standard Models </t>
  </si>
  <si>
    <t>74G-B</t>
  </si>
  <si>
    <t xml:space="preserve">701,000 to 1,300,000 Standard Models </t>
  </si>
  <si>
    <t>74G-C</t>
  </si>
  <si>
    <t xml:space="preserve">45,000 to 400,000 Conservation Models </t>
  </si>
  <si>
    <t>74G-D</t>
  </si>
  <si>
    <t>Total Rentals</t>
  </si>
  <si>
    <t>71/72/74</t>
  </si>
  <si>
    <t>(1)</t>
  </si>
  <si>
    <t>Weather normalized therms for year ending June 30, 2012, based on 2013 Expedited Rate Filing.</t>
  </si>
  <si>
    <t>Current Schedule 142 Rate Plan Rates for Schedules 85, 85T, 87 &amp; 87T</t>
  </si>
  <si>
    <t>Schedule 143</t>
  </si>
  <si>
    <t>Description</t>
  </si>
  <si>
    <t>Effective 1-1-14</t>
  </si>
  <si>
    <t>Effective 1-1-15</t>
  </si>
  <si>
    <t>Effective 1-1-16</t>
  </si>
  <si>
    <t>Schedule 85 Interruptible - Sales</t>
  </si>
  <si>
    <t>Bills</t>
  </si>
  <si>
    <t>Demand</t>
  </si>
  <si>
    <t>Schedule 85 Interruptible - Transportation</t>
  </si>
  <si>
    <t>Schedule 87 Non-exclusive Interruptible - Sales</t>
  </si>
  <si>
    <t>Schedule 87 Non-exclusive Interruptible - Transportation</t>
  </si>
  <si>
    <t>Schedule 142 Amortization Rate % Calculation</t>
  </si>
  <si>
    <t>Deferred Balance to Recover/(Refund)</t>
  </si>
  <si>
    <t>Development of Schedule 142 Deferral Amortization Rate by Rate Schedule</t>
  </si>
  <si>
    <t>Proposed Rates</t>
  </si>
  <si>
    <t>Amort Adder %</t>
  </si>
  <si>
    <t>First 900 therms</t>
  </si>
  <si>
    <t>Natural Gas Operations</t>
  </si>
  <si>
    <t>Development of Deferrals - Residential</t>
  </si>
  <si>
    <t>Calendar Year 2015</t>
  </si>
  <si>
    <t>Actual Customers</t>
  </si>
  <si>
    <t>Monthly Allowed Volumetric Delivery RPC</t>
  </si>
  <si>
    <t>Allowed Volumetric Delivery Revenue</t>
  </si>
  <si>
    <t>Actual Therms (New Rate)</t>
  </si>
  <si>
    <t>Delivery Revenue Per Unit ($/Therm)</t>
  </si>
  <si>
    <t>Monthly Actual Volumetric Delivery Revenue</t>
  </si>
  <si>
    <t>Actual Therms (Old Rate)</t>
  </si>
  <si>
    <t>Total Actual Volumetric Delivery Revenue</t>
  </si>
  <si>
    <t>Deferral Net of Rev Sensitive Items</t>
  </si>
  <si>
    <t>Interest on Deferral</t>
  </si>
  <si>
    <t>Cumulative Deferral</t>
  </si>
  <si>
    <t>Deferral Amortization Rate ($/Therm) (New Rate)</t>
  </si>
  <si>
    <t>Deferral Amortization Rate ($/Therm) (Old Rate)</t>
  </si>
  <si>
    <t>Cumulative Deferral Net of Amortization</t>
  </si>
  <si>
    <t>Schedule 142 Rate (New Rate)</t>
  </si>
  <si>
    <t>Schedule 142 Rate (Old Rate)</t>
  </si>
  <si>
    <t xml:space="preserve">Schedule 142 Revenues </t>
  </si>
  <si>
    <t>Amounts highlighted in tan must be updated with actuals each month from the detail that supports each of the Customer Counts – By Schedule report (for Line 1) and the Summary of Gas Operating Revenue &amp; Therm Sales report (for Line 5).</t>
  </si>
  <si>
    <t xml:space="preserve">Amounts highlighted in green will remain unchanged in 2013, but must be updated to new amounts annually beginning in 2014.  The new monthly amounts for each subsequent calendar year will be obtained from Attachment G (for Line 2) and </t>
  </si>
  <si>
    <t>from the Cost of Service Department (for Line 6).  Amounts can also be found on Tariff Schedule 142.</t>
  </si>
  <si>
    <t>The conversion factor should be updated each May when rates change and can be obtained from the Cost of Service Department.</t>
  </si>
  <si>
    <t>Note:  Deferral, interest and amortization results above represent restated results due to various corrections and adjustments made throughout the year.</t>
  </si>
  <si>
    <t>Development of Deferrals - Non-Residential</t>
  </si>
  <si>
    <t>See Calculation Sheet</t>
  </si>
  <si>
    <t>Schedule 142 Rate (New Rate)*</t>
  </si>
  <si>
    <t>Schedule 142 Rate (Old Rate)*</t>
  </si>
  <si>
    <t>Amounts highlighted in tan must be updated with actuals each month from the detail that supports each of the Customer Counts – By Schedule report (for Line 1) and the Summary of Summary of Gas Operating Revenue &amp; Therm Sales report (for Line 5).</t>
  </si>
  <si>
    <t>CY 2014 Normalized Therms and Revenues</t>
  </si>
  <si>
    <t>Volume (Therms)</t>
  </si>
  <si>
    <t>Total 2015</t>
  </si>
  <si>
    <t>Non-Residential</t>
  </si>
  <si>
    <t xml:space="preserve">Revenues </t>
  </si>
  <si>
    <t>Calculated Transport</t>
  </si>
  <si>
    <t>Total Adjusted</t>
  </si>
  <si>
    <t>$/Therm *</t>
  </si>
  <si>
    <t>Schedule Gas Cost</t>
  </si>
  <si>
    <t>* Represents 2015 PGA schedule 101 gas costs for associated sales schedules.</t>
  </si>
  <si>
    <t>Development of Allowed Delivery Revenue by Rate Group</t>
  </si>
  <si>
    <t>CY 2015</t>
  </si>
  <si>
    <t xml:space="preserve">  Schedules 23 &amp; 53</t>
  </si>
  <si>
    <t xml:space="preserve">  Schedules 31, 31T, 41, 41T, 86 &amp; 86T</t>
  </si>
  <si>
    <t>Allowed Delivery Revenue Per Customer</t>
  </si>
  <si>
    <t>Total Allowed Delivery Revenue</t>
  </si>
  <si>
    <t>Natural Gas Operations:  Residential</t>
  </si>
  <si>
    <t>Development of Deferrals Comparison Projected vs. Actual</t>
  </si>
  <si>
    <t>Projected (UG-121705)</t>
  </si>
  <si>
    <t>Forecasted Customers</t>
  </si>
  <si>
    <t>Forecasted therms</t>
  </si>
  <si>
    <t>Delivery Revenue Per Unit ($/therm)</t>
  </si>
  <si>
    <t>Delivery Revenue Per Unit ($/therms)</t>
  </si>
  <si>
    <t>Customers</t>
  </si>
  <si>
    <t>Note:  Actual Deferral results above represent restated results due to various corrections and adjustments made throughout the year.</t>
  </si>
  <si>
    <t>Natural Gas Operations:  Non-Residential</t>
  </si>
  <si>
    <t>2013 Expedited Rate Case - Compliance Filing</t>
  </si>
  <si>
    <t>Test Year Ended June 2012</t>
  </si>
  <si>
    <t>Data for Development of Annual Fixed Cost Rates</t>
  </si>
  <si>
    <t>Schedule 31</t>
  </si>
  <si>
    <t>Schedule 41</t>
  </si>
  <si>
    <t>Schedule 41T</t>
  </si>
  <si>
    <t>Schedule 86</t>
  </si>
  <si>
    <t>Schedule 86T</t>
  </si>
  <si>
    <t>Schedule 85</t>
  </si>
  <si>
    <t>Schedule 85T</t>
  </si>
  <si>
    <t>Schedule 87</t>
  </si>
  <si>
    <t>Schedule 87T</t>
  </si>
  <si>
    <t>(d) = Σ (e thru i)</t>
  </si>
  <si>
    <t>2013 ERF (UG-130138)</t>
  </si>
  <si>
    <t>Total Proforma Margin Revenue</t>
  </si>
  <si>
    <t>Less: Basic &amp; Minimum Charge Revenue</t>
  </si>
  <si>
    <t>Net Proforma Margin Revenue</t>
  </si>
  <si>
    <t>(2)-(3)-(4)</t>
  </si>
  <si>
    <t>Test Year Sales (Therms)</t>
  </si>
  <si>
    <t>Basic Charge Revenue Only</t>
  </si>
  <si>
    <t>Residential Volumetric Rate</t>
  </si>
  <si>
    <t>Non-Res Volumetric Rate</t>
  </si>
  <si>
    <t>85,85T,87 &amp; 87T Volumetric Rate</t>
  </si>
  <si>
    <t>Expedited Rate Filing (ERF) - Compliance Filing</t>
  </si>
  <si>
    <t>Current and Proposed Rates Applicable to ERF by Rate Schedule</t>
  </si>
  <si>
    <t xml:space="preserve">Billing </t>
  </si>
  <si>
    <t>Current Applicable to ERF</t>
  </si>
  <si>
    <t>Proposed Applicable to ERF</t>
  </si>
  <si>
    <t>Proposed ERF</t>
  </si>
  <si>
    <t>Target</t>
  </si>
  <si>
    <t>Determinants</t>
  </si>
  <si>
    <t>Revenues</t>
  </si>
  <si>
    <t>target 23/53/16</t>
  </si>
  <si>
    <t>over(under)</t>
  </si>
  <si>
    <t>change</t>
  </si>
  <si>
    <t>Schedule 16 Gas Lights</t>
  </si>
  <si>
    <t>Mantles</t>
  </si>
  <si>
    <t>target 31/31T/61</t>
  </si>
  <si>
    <t>Schedule 61 Standby &amp; Auxiliary Heating</t>
  </si>
  <si>
    <t>target 41/41T</t>
  </si>
  <si>
    <t>Minimum Bill</t>
  </si>
  <si>
    <t>in minimum bills</t>
  </si>
  <si>
    <t>Total Volume</t>
  </si>
  <si>
    <t>target</t>
  </si>
  <si>
    <t>Minimum Bills</t>
  </si>
  <si>
    <t xml:space="preserve"> </t>
  </si>
  <si>
    <t>Contracts</t>
  </si>
  <si>
    <t>Total Therms and Margin Revenue By Rate Class</t>
  </si>
  <si>
    <t>Residential (16,23,53)</t>
  </si>
  <si>
    <t>Commercial &amp; Industrial (31,31T,61)</t>
  </si>
  <si>
    <t>Large Volume (41,41T)</t>
  </si>
  <si>
    <t>Interruptible (85, 85T)</t>
  </si>
  <si>
    <t>Limited Interruptible (86, 86T)</t>
  </si>
  <si>
    <t>Non-exclusive Interruptible (87,87T)</t>
  </si>
  <si>
    <t>Other Revenue</t>
  </si>
  <si>
    <t xml:space="preserve">Total  </t>
  </si>
  <si>
    <t>Summary of Billing Determinants</t>
  </si>
  <si>
    <t>Bills (basic charges) by rate schedule (1)</t>
  </si>
  <si>
    <t xml:space="preserve">Residential </t>
  </si>
  <si>
    <t>Residential propane</t>
  </si>
  <si>
    <t xml:space="preserve">Interruptible </t>
  </si>
  <si>
    <t>Limited interruptible</t>
  </si>
  <si>
    <t>Non exclusive interruptible</t>
  </si>
  <si>
    <t xml:space="preserve">Transportation - large volume </t>
  </si>
  <si>
    <t>Transportation - interrupt with firm option</t>
  </si>
  <si>
    <t>Transportation - limited interrupt with firm option</t>
  </si>
  <si>
    <t xml:space="preserve">Transportation - non-exclus inter/firm option </t>
  </si>
  <si>
    <t>Total bills (Basic charges)</t>
  </si>
  <si>
    <t>Volume (therms) by rate schedule</t>
  </si>
  <si>
    <t xml:space="preserve">Residential gas lights </t>
  </si>
  <si>
    <t>Total volume (sales and transportation)</t>
  </si>
  <si>
    <t>Billed demand by rate schedule (1)</t>
  </si>
  <si>
    <t>Standby &amp; auxiliary heating</t>
  </si>
  <si>
    <t xml:space="preserve">Transportation - limited interrupt with firm option </t>
  </si>
  <si>
    <t>(1) Total bills and billed demand from contracts are not included.</t>
  </si>
  <si>
    <t>KJB-5</t>
  </si>
  <si>
    <t>Page 4.01</t>
  </si>
  <si>
    <t>Decoupling Filing</t>
  </si>
  <si>
    <t>Development of Allowed Delivery Revenue Per Customer - Natural Gas</t>
  </si>
  <si>
    <t>Total Proforma Test Year Revenue</t>
  </si>
  <si>
    <t>Test Year Customers</t>
  </si>
  <si>
    <t>Quarterly Report</t>
  </si>
  <si>
    <t>Test Year Volumetric Delivery Revenue Per Customer</t>
  </si>
  <si>
    <t xml:space="preserve">  - Effective July 1, 2013</t>
  </si>
  <si>
    <t>Input</t>
  </si>
  <si>
    <t xml:space="preserve">  - Effective January 1, 2014</t>
  </si>
  <si>
    <t xml:space="preserve">  - Effective January 1, 2015</t>
  </si>
  <si>
    <t xml:space="preserve">  - Effective January 1, 2016</t>
  </si>
  <si>
    <t xml:space="preserve">  - Effective January 1, 2017**</t>
  </si>
  <si>
    <t>K-Factor Adjusted Volumetric Delivery Revenue Per Customer</t>
  </si>
  <si>
    <t>Test Year Basic &amp; Minimum Charge Revenue</t>
  </si>
  <si>
    <t>Test Year Basic &amp; Minimum Charge Revenue Per Customer</t>
  </si>
  <si>
    <t>Annual Allowed Volumetric Delivery Revenue Per Customer</t>
  </si>
  <si>
    <t>* Includes Schedules 31, 31T, 41, 41T, 86, &amp; 86T.  Rates for special contract customers are governed by thier contracts.</t>
  </si>
  <si>
    <t>** Only if rates from PSE's next general rate case have not yet gone into effect.</t>
  </si>
  <si>
    <t>Development of Monthly Allowed Delivery Revenue Per Customer - Natural Gas</t>
  </si>
  <si>
    <t>Jan</t>
  </si>
  <si>
    <t>Feb</t>
  </si>
  <si>
    <t>Mar</t>
  </si>
  <si>
    <t>Apr</t>
  </si>
  <si>
    <t>May</t>
  </si>
  <si>
    <t>Jun</t>
  </si>
  <si>
    <t>Jul</t>
  </si>
  <si>
    <t>Aug</t>
  </si>
  <si>
    <t>Sep</t>
  </si>
  <si>
    <t>Oct</t>
  </si>
  <si>
    <t>Nov</t>
  </si>
  <si>
    <t>Dec</t>
  </si>
  <si>
    <t>(o)</t>
  </si>
  <si>
    <t>Gas Sales</t>
  </si>
  <si>
    <t xml:space="preserve"> - Weather-Normalized Therm Sales</t>
  </si>
  <si>
    <t xml:space="preserve">  - % of Annual Total</t>
  </si>
  <si>
    <t>% of (C(o):R(4))</t>
  </si>
  <si>
    <t>% of (C(o):R(8))</t>
  </si>
  <si>
    <t>Monthly Allowed Volumetric Delivery Revenue Per Customer (RPC)</t>
  </si>
  <si>
    <t xml:space="preserve">  - Test Year Allowed Volumetric Delivery RPC</t>
  </si>
  <si>
    <t xml:space="preserve">  - Test Year Monthly Allowed Volumetric Delivery RPC</t>
  </si>
  <si>
    <t xml:space="preserve">  - 2013 Allowed Volumetric Delivery RPC</t>
  </si>
  <si>
    <t xml:space="preserve">  - 2013 Monthly Allowed Volumetric Delivery RPC</t>
  </si>
  <si>
    <t xml:space="preserve">  - 2014 Allowed Volumetric Delivery RPC</t>
  </si>
  <si>
    <t>JPG-4</t>
  </si>
  <si>
    <t xml:space="preserve">  - 2014 Monthly Allowed Volumetric Delivery RPC</t>
  </si>
  <si>
    <t xml:space="preserve">  - 2015 Allowed Volumetric Delivery RPC</t>
  </si>
  <si>
    <t xml:space="preserve">  - 2015 Monthly Allowed Volumetric Delivery RPC</t>
  </si>
  <si>
    <t xml:space="preserve">  - 2016 Allowed Volumetric Delivery RPC</t>
  </si>
  <si>
    <t xml:space="preserve">  - 2016 Monthly Allowed Volumetric Delivery RPC</t>
  </si>
  <si>
    <t xml:space="preserve">  - 2017 Allowed Volumetric Delivery RPC</t>
  </si>
  <si>
    <t xml:space="preserve">  - 2017 Monthly Allowed Volumetric Delivery RPC</t>
  </si>
  <si>
    <t xml:space="preserve">16G-R   </t>
  </si>
  <si>
    <t xml:space="preserve">23G     </t>
  </si>
  <si>
    <t xml:space="preserve">23G-ND  </t>
  </si>
  <si>
    <t xml:space="preserve">23G-NK  </t>
  </si>
  <si>
    <t xml:space="preserve">23G-NR  </t>
  </si>
  <si>
    <t xml:space="preserve">23G-NS  </t>
  </si>
  <si>
    <t xml:space="preserve">31G-C   </t>
  </si>
  <si>
    <t>31G-C-ND</t>
  </si>
  <si>
    <t>31G-C-NK</t>
  </si>
  <si>
    <t>31G-C-NR</t>
  </si>
  <si>
    <t>31G-C-NS</t>
  </si>
  <si>
    <t xml:space="preserve">31G-I   </t>
  </si>
  <si>
    <t>31G-I-NK</t>
  </si>
  <si>
    <t>31G-I-NR</t>
  </si>
  <si>
    <t xml:space="preserve">41G-C2  </t>
  </si>
  <si>
    <t>41G-C-NK</t>
  </si>
  <si>
    <t xml:space="preserve">41G-I2  </t>
  </si>
  <si>
    <t xml:space="preserve">41TG-C  </t>
  </si>
  <si>
    <t xml:space="preserve">41TG-I  </t>
  </si>
  <si>
    <t xml:space="preserve">53P     </t>
  </si>
  <si>
    <t xml:space="preserve">61G-C   </t>
  </si>
  <si>
    <t xml:space="preserve">61G-I   </t>
  </si>
  <si>
    <t xml:space="preserve">61G-R   </t>
  </si>
  <si>
    <t xml:space="preserve">85G-C3  </t>
  </si>
  <si>
    <t xml:space="preserve">85G-I3  </t>
  </si>
  <si>
    <t xml:space="preserve">85TG-C  </t>
  </si>
  <si>
    <t xml:space="preserve">85TG-I  </t>
  </si>
  <si>
    <t xml:space="preserve">86G-C2  </t>
  </si>
  <si>
    <t xml:space="preserve">86G-I2  </t>
  </si>
  <si>
    <t xml:space="preserve">86TG-I  </t>
  </si>
  <si>
    <t xml:space="preserve">87G-C4  </t>
  </si>
  <si>
    <t xml:space="preserve">87TG-C  </t>
  </si>
  <si>
    <t xml:space="preserve">87TG-I  </t>
  </si>
  <si>
    <t xml:space="preserve">98G-C   </t>
  </si>
  <si>
    <t xml:space="preserve">SC-99G  </t>
  </si>
  <si>
    <t xml:space="preserve">50G-C   </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</si>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</sst>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409]mmm\-yy;@"/>
    <numFmt numFmtId="167" formatCode="0.000%"/>
    <numFmt numFmtId="168" formatCode="_(&quot;$&quot;* #,##0.00000_);_(&quot;$&quot;* \(#,##0.00000\);_(&quot;$&quot;* &quot;-&quot;??_);_(@_)"/>
    <numFmt numFmtId="169" formatCode="&quot;$&quot;#,##0.00\ ;\(&quot;$&quot;#,##0.00\)"/>
    <numFmt numFmtId="170" formatCode="&quot;$&quot;#,##0\ ;\(&quot;$&quot;#,##0\)"/>
    <numFmt numFmtId="171" formatCode="&quot;$&quot;#,##0.00000"/>
    <numFmt numFmtId="172" formatCode="0.0%"/>
    <numFmt numFmtId="173" formatCode="&quot;$&quot;#,##0.00000\ ;\(&quot;$&quot;#,##0.00000\)"/>
    <numFmt numFmtId="174" formatCode="&quot;$&quot;#,##0.0000\ ;\(&quot;$&quot;#,##0.0000\)"/>
    <numFmt numFmtId="175" formatCode="&quot;$&quot;#,##0.00000_);\(&quot;$&quot;#,##0.00000\)"/>
    <numFmt numFmtId="176" formatCode="_(&quot;$&quot;* #,##0.00000_);_(&quot;$&quot;* \(#,##0.00000\);_(&quot;$&quot;* &quot;-&quot;?????_);_(@_)"/>
    <numFmt numFmtId="177" formatCode="&quot;$&quot;#,##0"/>
    <numFmt numFmtId="178" formatCode="_(* #,##0.000_);_(* \(#,##0.000\);_(* &quot;-&quot;??_);_(@_)"/>
    <numFmt numFmtId="179" formatCode="_(&quot;$&quot;* #,##0.0000_);_(&quot;$&quot;* \(#,##0.0000\);_(&quot;$&quot;* &quot;-&quot;??_);_(@_)"/>
    <numFmt numFmtId="180" formatCode="_(&quot;$&quot;* #,##0.0_);_(&quot;$&quot;* \(#,##0.0\);_(&quot;$&quot;* &quot;-&quot;??_);_(@_)"/>
    <numFmt numFmtId="181" formatCode="#,##0.000_);\(#,##0.000\)"/>
    <numFmt numFmtId="182" formatCode="_(&quot;$&quot;* #,##0.00_);_(&quot;$&quot;* \(#,##0.00\);_(&quot;$&quot;* &quot;-&quot;_);_(@_)"/>
    <numFmt numFmtId="183" formatCode="_(* #,##0.000000_);_(* \(#,##0.000000\);_(* &quot;-&quot;??_);_(@_)"/>
    <numFmt numFmtId="184" formatCode="0.00000"/>
    <numFmt numFmtId="185" formatCode="_(&quot;$&quot;* #,##0.00_);_(&quot;$&quot;* \(#,##0.00\);_(&quot;$&quot;* &quot;-&quot;?????_);_(@_)"/>
    <numFmt numFmtId="186" formatCode="0.000000"/>
    <numFmt numFmtId="187" formatCode="0.00000000"/>
    <numFmt numFmtId="188" formatCode="00000"/>
    <numFmt numFmtId="189" formatCode="#,##0.00000000000;[Red]\-#,##0.00000000000"/>
    <numFmt numFmtId="190" formatCode="_(&quot;$&quot;* #,##0.0000_);_(&quot;$&quot;* \(#,##0.0000\);_(&quot;$&quot;* &quot;-&quot;????_);_(@_)"/>
    <numFmt numFmtId="191" formatCode="&quot;$&quot;#,##0.00"/>
    <numFmt numFmtId="192" formatCode="0.0000%"/>
    <numFmt numFmtId="193" formatCode="_-* #,##0.00\ _D_M_-;\-* #,##0.00\ _D_M_-;_-* &quot;-&quot;??\ _D_M_-;_-@_-"/>
    <numFmt numFmtId="194" formatCode="_-* #,##0.00\ &quot;DM&quot;_-;\-* #,##0.00\ &quot;DM&quot;_-;_-* &quot;-&quot;??\ &quot;DM&quot;_-;_-@_-"/>
    <numFmt numFmtId="195" formatCode="[Blue]#,##0_);[Magenta]\(#,##0\)"/>
    <numFmt numFmtId="196" formatCode="_(* #,##0.0_);_(* \(#,##0.0\);_(* &quot;-&quot;_);_(@_)"/>
  </numFmts>
  <fonts count="98">
    <font>
      <sz val="11"/>
      <color theme="1"/>
      <name val="Calibri"/>
      <family val="2"/>
      <scheme val="minor"/>
    </font>
    <font>
      <sz val="10"/>
      <name val="Arial"/>
      <family val="2"/>
    </font>
    <font>
      <b/>
      <sz val="10"/>
      <name val="Arial"/>
      <family val="2"/>
    </font>
    <font>
      <b/>
      <sz val="12"/>
      <name val="Arial"/>
      <family val="2"/>
    </font>
    <font>
      <sz val="10"/>
      <color indexed="12"/>
      <name val="Arial"/>
      <family val="2"/>
    </font>
    <font>
      <sz val="10"/>
      <color indexed="8"/>
      <name val="Arial"/>
      <family val="2"/>
    </font>
    <font>
      <sz val="11"/>
      <color theme="1"/>
      <name val="Calibri"/>
      <family val="2"/>
      <scheme val="minor"/>
    </font>
    <font>
      <sz val="10"/>
      <color theme="1"/>
      <name val="Calibri"/>
      <family val="2"/>
    </font>
    <font>
      <b/>
      <sz val="11"/>
      <color theme="1"/>
      <name val="Calibri"/>
      <family val="2"/>
      <scheme val="minor"/>
    </font>
    <font>
      <sz val="10"/>
      <color theme="1"/>
      <name val="Arial"/>
      <family val="2"/>
    </font>
    <font>
      <b/>
      <i/>
      <u/>
      <sz val="10"/>
      <color theme="1"/>
      <name val="Arial"/>
      <family val="2"/>
    </font>
    <font>
      <sz val="10"/>
      <color rgb="FFFF0000"/>
      <name val="Arial"/>
      <family val="2"/>
    </font>
    <font>
      <b/>
      <sz val="10"/>
      <color theme="1"/>
      <name val="Arial"/>
      <family val="2"/>
    </font>
    <font>
      <b/>
      <sz val="11"/>
      <color rgb="FF009999"/>
      <name val="Calibri"/>
      <family val="2"/>
      <scheme val="minor"/>
    </font>
    <font>
      <b/>
      <sz val="11"/>
      <name val="Calibri"/>
      <family val="2"/>
      <scheme val="minor"/>
    </font>
    <font>
      <sz val="11"/>
      <name val="Calibri"/>
      <family val="2"/>
      <scheme val="minor"/>
    </font>
    <font>
      <sz val="11"/>
      <color indexed="12"/>
      <name val="Calibri"/>
      <family val="2"/>
      <scheme val="minor"/>
    </font>
    <font>
      <sz val="11"/>
      <color rgb="FF0000FF"/>
      <name val="Calibri"/>
      <family val="2"/>
      <scheme val="minor"/>
    </font>
    <font>
      <sz val="11"/>
      <color rgb="FF009999"/>
      <name val="Calibri"/>
      <family val="2"/>
      <scheme val="minor"/>
    </font>
    <font>
      <sz val="11"/>
      <color rgb="FF006699"/>
      <name val="Calibri"/>
      <family val="2"/>
      <scheme val="minor"/>
    </font>
    <font>
      <sz val="10"/>
      <color rgb="FF0000FF"/>
      <name val="Arial"/>
      <family val="2"/>
    </font>
    <font>
      <sz val="10"/>
      <color rgb="FF008080"/>
      <name val="Arial"/>
      <family val="2"/>
    </font>
    <font>
      <u/>
      <sz val="10"/>
      <name val="Arial"/>
      <family val="2"/>
    </font>
    <font>
      <sz val="10"/>
      <name val="Times New Roman"/>
      <family val="1"/>
    </font>
    <font>
      <sz val="10"/>
      <color indexed="17"/>
      <name val="Arial"/>
      <family val="2"/>
    </font>
    <font>
      <b/>
      <u/>
      <sz val="10"/>
      <name val="Arial"/>
      <family val="2"/>
    </font>
    <font>
      <sz val="10"/>
      <name val="Arial"/>
      <family val="2"/>
    </font>
    <font>
      <u/>
      <sz val="10"/>
      <color theme="1"/>
      <name val="Arial"/>
      <family val="2"/>
    </font>
    <font>
      <sz val="9"/>
      <color theme="1"/>
      <name val="Arial"/>
      <family val="2"/>
    </font>
    <font>
      <b/>
      <sz val="10"/>
      <color rgb="FF008080"/>
      <name val="Arial"/>
      <family val="2"/>
    </font>
    <font>
      <b/>
      <sz val="9"/>
      <color indexed="81"/>
      <name val="Tahoma"/>
      <family val="2"/>
    </font>
    <font>
      <sz val="9"/>
      <color indexed="81"/>
      <name val="Tahoma"/>
      <family val="2"/>
    </font>
    <font>
      <b/>
      <sz val="10"/>
      <name val="Times New Roman"/>
      <family val="1"/>
    </font>
    <font>
      <sz val="10"/>
      <name val="Arial"/>
      <family val="2"/>
    </font>
    <font>
      <sz val="12"/>
      <name val="Arial"/>
      <family val="2"/>
    </font>
    <font>
      <sz val="12"/>
      <name val="Helv"/>
    </font>
    <font>
      <sz val="8"/>
      <name val="Arial"/>
      <family val="2"/>
    </font>
    <font>
      <b/>
      <sz val="8"/>
      <name val="Arial"/>
      <family val="2"/>
    </font>
    <font>
      <b/>
      <sz val="10"/>
      <name val="Helv"/>
    </font>
    <font>
      <b/>
      <i/>
      <sz val="10"/>
      <name val="Helv"/>
    </font>
    <font>
      <i/>
      <sz val="10"/>
      <name val="Helv"/>
    </font>
    <font>
      <b/>
      <i/>
      <sz val="10"/>
      <name val="Arial"/>
      <family val="2"/>
    </font>
    <font>
      <i/>
      <sz val="10"/>
      <name val="Arial"/>
      <family val="2"/>
    </font>
    <font>
      <b/>
      <sz val="12"/>
      <color indexed="60"/>
      <name val="Arial"/>
      <family val="2"/>
    </font>
    <font>
      <b/>
      <sz val="14"/>
      <color indexed="56"/>
      <name val="Arial"/>
      <family val="2"/>
    </font>
    <font>
      <b/>
      <u/>
      <sz val="10"/>
      <color theme="1"/>
      <name val="Arial"/>
      <family val="2"/>
    </font>
    <font>
      <i/>
      <u/>
      <sz val="10"/>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6"/>
      <name val="Calibri"/>
      <family val="2"/>
    </font>
    <font>
      <sz val="11"/>
      <color indexed="20"/>
      <name val="Calibri"/>
      <family val="2"/>
    </font>
    <font>
      <b/>
      <sz val="11"/>
      <color indexed="53"/>
      <name val="Calibri"/>
      <family val="2"/>
    </font>
    <font>
      <b/>
      <sz val="11"/>
      <color indexed="52"/>
      <name val="Calibri"/>
      <family val="2"/>
    </font>
    <font>
      <b/>
      <sz val="11"/>
      <color indexed="9"/>
      <name val="Calibri"/>
      <family val="2"/>
    </font>
    <font>
      <b/>
      <sz val="11"/>
      <color indexed="8"/>
      <name val="Calibri"/>
      <family val="2"/>
    </font>
    <font>
      <sz val="8"/>
      <color indexed="12"/>
      <name val="Arial"/>
      <family val="2"/>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sz val="11"/>
      <color indexed="48"/>
      <name val="Calibri"/>
      <family val="2"/>
    </font>
    <font>
      <sz val="11"/>
      <color indexed="62"/>
      <name val="Calibri"/>
      <family val="2"/>
    </font>
    <font>
      <sz val="11"/>
      <color indexed="53"/>
      <name val="Calibri"/>
      <family val="2"/>
    </font>
    <font>
      <sz val="11"/>
      <color indexed="52"/>
      <name val="Calibri"/>
      <family val="2"/>
    </font>
    <font>
      <sz val="11"/>
      <color indexed="60"/>
      <name val="Calibri"/>
      <family val="2"/>
    </font>
    <font>
      <sz val="10"/>
      <name val="Arial"/>
      <family val="2"/>
    </font>
    <font>
      <sz val="8"/>
      <name val="Helv"/>
    </font>
    <font>
      <sz val="10"/>
      <color rgb="FF000000"/>
      <name val="Arial"/>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sz val="11"/>
      <color indexed="10"/>
      <name val="Calibri"/>
      <family val="2"/>
    </font>
    <font>
      <b/>
      <sz val="8"/>
      <color indexed="81"/>
      <name val="Tahoma"/>
      <family val="2"/>
    </font>
    <font>
      <sz val="8"/>
      <color indexed="81"/>
      <name val="Tahoma"/>
      <family val="2"/>
    </font>
  </fonts>
  <fills count="9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99"/>
        <bgColor indexed="64"/>
      </patternFill>
    </fill>
    <fill>
      <patternFill patternType="solid">
        <fgColor rgb="FFFFCCFF"/>
        <bgColor indexed="64"/>
      </patternFill>
    </fill>
    <fill>
      <patternFill patternType="solid">
        <fgColor indexed="22"/>
        <bgColor indexed="64"/>
      </patternFill>
    </fill>
    <fill>
      <patternFill patternType="solid">
        <fgColor indexed="8"/>
      </patternFill>
    </fill>
    <fill>
      <patternFill patternType="lightGray">
        <fgColor indexed="8"/>
        <bgColor indexed="8"/>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62"/>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53"/>
      </patternFill>
    </fill>
    <fill>
      <patternFill patternType="solid">
        <fgColor indexed="9"/>
        <bgColor indexed="9"/>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26"/>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15"/>
      </patternFill>
    </fill>
    <fill>
      <patternFill patternType="solid">
        <fgColor theme="2"/>
        <bgColor indexed="64"/>
      </patternFill>
    </fill>
  </fills>
  <borders count="7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medium">
        <color indexed="24"/>
      </bottom>
      <diagonal/>
    </border>
    <border>
      <left/>
      <right/>
      <top/>
      <bottom style="medium">
        <color indexed="30"/>
      </bottom>
      <diagonal/>
    </border>
    <border>
      <left/>
      <right/>
      <top/>
      <bottom style="double">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double">
        <color indexed="48"/>
      </bottom>
      <diagonal/>
    </border>
    <border>
      <left/>
      <right/>
      <top style="thin">
        <color indexed="62"/>
      </top>
      <bottom style="double">
        <color indexed="62"/>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medium">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28">
    <xf numFmtId="0" fontId="0" fillId="0" borderId="0"/>
    <xf numFmtId="0" fontId="33" fillId="0" borderId="0"/>
    <xf numFmtId="43" fontId="1" fillId="0" borderId="0" applyFont="0" applyFill="0" applyBorder="0" applyAlignment="0" applyProtection="0"/>
    <xf numFmtId="44" fontId="1" fillId="0" borderId="0" applyFont="0" applyFill="0" applyBorder="0" applyAlignment="0" applyProtection="0"/>
    <xf numFmtId="3" fontId="34" fillId="0" borderId="0" applyFont="0" applyFill="0" applyBorder="0" applyAlignment="0" applyProtection="0"/>
    <xf numFmtId="0" fontId="35" fillId="0" borderId="0"/>
    <xf numFmtId="0" fontId="35" fillId="0" borderId="0"/>
    <xf numFmtId="0" fontId="35" fillId="0" borderId="0"/>
    <xf numFmtId="170" fontId="34" fillId="0" borderId="0" applyFont="0" applyFill="0" applyBorder="0" applyAlignment="0" applyProtection="0"/>
    <xf numFmtId="0" fontId="1" fillId="0" borderId="0" applyFont="0" applyFill="0" applyBorder="0" applyAlignment="0" applyProtection="0"/>
    <xf numFmtId="188" fontId="1" fillId="0" borderId="0"/>
    <xf numFmtId="2" fontId="34" fillId="0" borderId="0" applyFont="0" applyFill="0" applyBorder="0" applyAlignment="0" applyProtection="0"/>
    <xf numFmtId="38" fontId="36" fillId="6" borderId="0" applyNumberFormat="0" applyBorder="0" applyAlignment="0" applyProtection="0"/>
    <xf numFmtId="38" fontId="37" fillId="0" borderId="0"/>
    <xf numFmtId="40" fontId="37" fillId="0" borderId="0"/>
    <xf numFmtId="10" fontId="36" fillId="2" borderId="2" applyNumberFormat="0" applyBorder="0" applyAlignment="0" applyProtection="0"/>
    <xf numFmtId="44" fontId="2" fillId="0" borderId="14" applyNumberFormat="0" applyFont="0" applyAlignment="0">
      <alignment horizontal="center"/>
    </xf>
    <xf numFmtId="44" fontId="2" fillId="0" borderId="15" applyNumberFormat="0" applyFont="0" applyAlignment="0">
      <alignment horizontal="center"/>
    </xf>
    <xf numFmtId="189" fontId="1" fillId="0" borderId="0"/>
    <xf numFmtId="0" fontId="35" fillId="0" borderId="0"/>
    <xf numFmtId="0" fontId="35" fillId="0" borderId="0"/>
    <xf numFmtId="10" fontId="1" fillId="0" borderId="0" applyFont="0" applyFill="0" applyBorder="0" applyAlignment="0" applyProtection="0"/>
    <xf numFmtId="9" fontId="1" fillId="0" borderId="0" applyFont="0" applyFill="0" applyBorder="0" applyAlignment="0" applyProtection="0"/>
    <xf numFmtId="42" fontId="1" fillId="2" borderId="0"/>
    <xf numFmtId="0" fontId="35" fillId="7" borderId="0"/>
    <xf numFmtId="0" fontId="38" fillId="7" borderId="16"/>
    <xf numFmtId="0" fontId="39" fillId="8" borderId="17"/>
    <xf numFmtId="0" fontId="40" fillId="7" borderId="18"/>
    <xf numFmtId="42" fontId="41" fillId="9" borderId="1">
      <alignment vertical="center"/>
    </xf>
    <xf numFmtId="0" fontId="2" fillId="2" borderId="5" applyNumberFormat="0">
      <alignment horizontal="center" vertical="center" wrapText="1"/>
    </xf>
    <xf numFmtId="190" fontId="1" fillId="2" borderId="0"/>
    <xf numFmtId="42" fontId="42" fillId="2" borderId="6">
      <alignment horizontal="left"/>
    </xf>
    <xf numFmtId="38" fontId="36" fillId="0" borderId="19"/>
    <xf numFmtId="38" fontId="37" fillId="0" borderId="6"/>
    <xf numFmtId="186" fontId="1" fillId="0" borderId="0">
      <alignment horizontal="left" wrapText="1"/>
    </xf>
    <xf numFmtId="0" fontId="1" fillId="0" borderId="0" applyNumberFormat="0" applyBorder="0" applyAlignment="0"/>
    <xf numFmtId="0" fontId="35" fillId="0" borderId="0"/>
    <xf numFmtId="0" fontId="38" fillId="7" borderId="0"/>
    <xf numFmtId="191" fontId="43" fillId="0" borderId="0">
      <alignment horizontal="left" vertical="center"/>
    </xf>
    <xf numFmtId="0" fontId="2" fillId="2" borderId="0">
      <alignment horizontal="left" wrapText="1"/>
    </xf>
    <xf numFmtId="0" fontId="44" fillId="0" borderId="0">
      <alignment horizontal="left" vertical="center"/>
    </xf>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 fillId="0" borderId="0"/>
    <xf numFmtId="0" fontId="61" fillId="41" borderId="0" applyNumberFormat="0" applyBorder="0" applyAlignment="0" applyProtection="0"/>
    <xf numFmtId="0" fontId="9" fillId="18" borderId="0" applyNumberFormat="0" applyBorder="0" applyAlignment="0" applyProtection="0"/>
    <xf numFmtId="0" fontId="6" fillId="18" borderId="0" applyNumberFormat="0" applyBorder="0" applyAlignment="0" applyProtection="0"/>
    <xf numFmtId="0" fontId="61" fillId="42" borderId="0" applyNumberFormat="0" applyBorder="0" applyAlignment="0" applyProtection="0"/>
    <xf numFmtId="0" fontId="9" fillId="22" borderId="0" applyNumberFormat="0" applyBorder="0" applyAlignment="0" applyProtection="0"/>
    <xf numFmtId="0" fontId="6" fillId="22" borderId="0" applyNumberFormat="0" applyBorder="0" applyAlignment="0" applyProtection="0"/>
    <xf numFmtId="0" fontId="61" fillId="43" borderId="0" applyNumberFormat="0" applyBorder="0" applyAlignment="0" applyProtection="0"/>
    <xf numFmtId="0" fontId="9" fillId="26" borderId="0" applyNumberFormat="0" applyBorder="0" applyAlignment="0" applyProtection="0"/>
    <xf numFmtId="0" fontId="6" fillId="26" borderId="0" applyNumberFormat="0" applyBorder="0" applyAlignment="0" applyProtection="0"/>
    <xf numFmtId="0" fontId="61" fillId="44" borderId="0" applyNumberFormat="0" applyBorder="0" applyAlignment="0" applyProtection="0"/>
    <xf numFmtId="0" fontId="9" fillId="30" borderId="0" applyNumberFormat="0" applyBorder="0" applyAlignment="0" applyProtection="0"/>
    <xf numFmtId="0" fontId="6" fillId="30" borderId="0" applyNumberFormat="0" applyBorder="0" applyAlignment="0" applyProtection="0"/>
    <xf numFmtId="0" fontId="61" fillId="45" borderId="0" applyNumberFormat="0" applyBorder="0" applyAlignment="0" applyProtection="0"/>
    <xf numFmtId="0" fontId="9" fillId="34" borderId="0" applyNumberFormat="0" applyBorder="0" applyAlignment="0" applyProtection="0"/>
    <xf numFmtId="0" fontId="6" fillId="34" borderId="0" applyNumberFormat="0" applyBorder="0" applyAlignment="0" applyProtection="0"/>
    <xf numFmtId="0" fontId="61" fillId="46" borderId="0" applyNumberFormat="0" applyBorder="0" applyAlignment="0" applyProtection="0"/>
    <xf numFmtId="0" fontId="9" fillId="38" borderId="0" applyNumberFormat="0" applyBorder="0" applyAlignment="0" applyProtection="0"/>
    <xf numFmtId="0" fontId="6" fillId="38" borderId="0" applyNumberFormat="0" applyBorder="0" applyAlignment="0" applyProtection="0"/>
    <xf numFmtId="0" fontId="61" fillId="47" borderId="0" applyNumberFormat="0" applyBorder="0" applyAlignment="0" applyProtection="0"/>
    <xf numFmtId="0" fontId="9" fillId="19" borderId="0" applyNumberFormat="0" applyBorder="0" applyAlignment="0" applyProtection="0"/>
    <xf numFmtId="0" fontId="6" fillId="19" borderId="0" applyNumberFormat="0" applyBorder="0" applyAlignment="0" applyProtection="0"/>
    <xf numFmtId="0" fontId="61" fillId="48" borderId="0" applyNumberFormat="0" applyBorder="0" applyAlignment="0" applyProtection="0"/>
    <xf numFmtId="0" fontId="9" fillId="23" borderId="0" applyNumberFormat="0" applyBorder="0" applyAlignment="0" applyProtection="0"/>
    <xf numFmtId="0" fontId="6" fillId="23" borderId="0" applyNumberFormat="0" applyBorder="0" applyAlignment="0" applyProtection="0"/>
    <xf numFmtId="0" fontId="61" fillId="49" borderId="0" applyNumberFormat="0" applyBorder="0" applyAlignment="0" applyProtection="0"/>
    <xf numFmtId="0" fontId="9" fillId="27" borderId="0" applyNumberFormat="0" applyBorder="0" applyAlignment="0" applyProtection="0"/>
    <xf numFmtId="0" fontId="6" fillId="27" borderId="0" applyNumberFormat="0" applyBorder="0" applyAlignment="0" applyProtection="0"/>
    <xf numFmtId="0" fontId="61" fillId="44" borderId="0" applyNumberFormat="0" applyBorder="0" applyAlignment="0" applyProtection="0"/>
    <xf numFmtId="0" fontId="9" fillId="31" borderId="0" applyNumberFormat="0" applyBorder="0" applyAlignment="0" applyProtection="0"/>
    <xf numFmtId="0" fontId="6" fillId="31" borderId="0" applyNumberFormat="0" applyBorder="0" applyAlignment="0" applyProtection="0"/>
    <xf numFmtId="0" fontId="61" fillId="47" borderId="0" applyNumberFormat="0" applyBorder="0" applyAlignment="0" applyProtection="0"/>
    <xf numFmtId="0" fontId="9" fillId="35" borderId="0" applyNumberFormat="0" applyBorder="0" applyAlignment="0" applyProtection="0"/>
    <xf numFmtId="0" fontId="6" fillId="35" borderId="0" applyNumberFormat="0" applyBorder="0" applyAlignment="0" applyProtection="0"/>
    <xf numFmtId="0" fontId="61" fillId="50" borderId="0" applyNumberFormat="0" applyBorder="0" applyAlignment="0" applyProtection="0"/>
    <xf numFmtId="0" fontId="9" fillId="39" borderId="0" applyNumberFormat="0" applyBorder="0" applyAlignment="0" applyProtection="0"/>
    <xf numFmtId="0" fontId="6" fillId="39" borderId="0" applyNumberFormat="0" applyBorder="0" applyAlignment="0" applyProtection="0"/>
    <xf numFmtId="0" fontId="62" fillId="51" borderId="0" applyNumberFormat="0" applyBorder="0" applyAlignment="0" applyProtection="0"/>
    <xf numFmtId="0" fontId="60" fillId="20" borderId="0" applyNumberFormat="0" applyBorder="0" applyAlignment="0" applyProtection="0"/>
    <xf numFmtId="0" fontId="62" fillId="48" borderId="0" applyNumberFormat="0" applyBorder="0" applyAlignment="0" applyProtection="0"/>
    <xf numFmtId="0" fontId="60" fillId="24" borderId="0" applyNumberFormat="0" applyBorder="0" applyAlignment="0" applyProtection="0"/>
    <xf numFmtId="0" fontId="62" fillId="49" borderId="0" applyNumberFormat="0" applyBorder="0" applyAlignment="0" applyProtection="0"/>
    <xf numFmtId="0" fontId="60" fillId="28" borderId="0" applyNumberFormat="0" applyBorder="0" applyAlignment="0" applyProtection="0"/>
    <xf numFmtId="0" fontId="62" fillId="52" borderId="0" applyNumberFormat="0" applyBorder="0" applyAlignment="0" applyProtection="0"/>
    <xf numFmtId="0" fontId="60" fillId="32" borderId="0" applyNumberFormat="0" applyBorder="0" applyAlignment="0" applyProtection="0"/>
    <xf numFmtId="0" fontId="62" fillId="53" borderId="0" applyNumberFormat="0" applyBorder="0" applyAlignment="0" applyProtection="0"/>
    <xf numFmtId="0" fontId="60" fillId="36" borderId="0" applyNumberFormat="0" applyBorder="0" applyAlignment="0" applyProtection="0"/>
    <xf numFmtId="0" fontId="62" fillId="54" borderId="0" applyNumberFormat="0" applyBorder="0" applyAlignment="0" applyProtection="0"/>
    <xf numFmtId="0" fontId="60" fillId="40" borderId="0" applyNumberFormat="0" applyBorder="0" applyAlignment="0" applyProtection="0"/>
    <xf numFmtId="0" fontId="61" fillId="55" borderId="0" applyNumberFormat="0" applyBorder="0" applyAlignment="0" applyProtection="0"/>
    <xf numFmtId="0" fontId="61" fillId="56" borderId="0" applyNumberFormat="0" applyBorder="0" applyAlignment="0" applyProtection="0"/>
    <xf numFmtId="0" fontId="62" fillId="5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2" fillId="58" borderId="0" applyNumberFormat="0" applyBorder="0" applyAlignment="0" applyProtection="0"/>
    <xf numFmtId="0" fontId="62" fillId="59" borderId="0" applyNumberFormat="0" applyBorder="0" applyAlignment="0" applyProtection="0"/>
    <xf numFmtId="0" fontId="62" fillId="58" borderId="0" applyNumberFormat="0" applyBorder="0" applyAlignment="0" applyProtection="0"/>
    <xf numFmtId="0" fontId="62" fillId="58"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1" fillId="60" borderId="0" applyNumberFormat="0" applyBorder="0" applyAlignment="0" applyProtection="0"/>
    <xf numFmtId="0" fontId="61" fillId="61" borderId="0" applyNumberFormat="0" applyBorder="0" applyAlignment="0" applyProtection="0"/>
    <xf numFmtId="0" fontId="62" fillId="62"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2" fillId="63" borderId="0" applyNumberFormat="0" applyBorder="0" applyAlignment="0" applyProtection="0"/>
    <xf numFmtId="0" fontId="62" fillId="64" borderId="0" applyNumberFormat="0" applyBorder="0" applyAlignment="0" applyProtection="0"/>
    <xf numFmtId="0" fontId="62" fillId="63" borderId="0" applyNumberFormat="0" applyBorder="0" applyAlignment="0" applyProtection="0"/>
    <xf numFmtId="0" fontId="62" fillId="63"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1" fillId="65" borderId="0" applyNumberFormat="0" applyBorder="0" applyAlignment="0" applyProtection="0"/>
    <xf numFmtId="0" fontId="61" fillId="66" borderId="0" applyNumberFormat="0" applyBorder="0" applyAlignment="0" applyProtection="0"/>
    <xf numFmtId="0" fontId="62" fillId="67"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2" fillId="62" borderId="0" applyNumberFormat="0" applyBorder="0" applyAlignment="0" applyProtection="0"/>
    <xf numFmtId="0" fontId="62" fillId="68" borderId="0" applyNumberFormat="0" applyBorder="0" applyAlignment="0" applyProtection="0"/>
    <xf numFmtId="0" fontId="62" fillId="62" borderId="0" applyNumberFormat="0" applyBorder="0" applyAlignment="0" applyProtection="0"/>
    <xf numFmtId="0" fontId="62" fillId="62"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1" fillId="66" borderId="0" applyNumberFormat="0" applyBorder="0" applyAlignment="0" applyProtection="0"/>
    <xf numFmtId="0" fontId="61" fillId="67" borderId="0" applyNumberFormat="0" applyBorder="0" applyAlignment="0" applyProtection="0"/>
    <xf numFmtId="0" fontId="62" fillId="67"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2" fillId="69" borderId="0" applyNumberFormat="0" applyBorder="0" applyAlignment="0" applyProtection="0"/>
    <xf numFmtId="0" fontId="62" fillId="52" borderId="0" applyNumberFormat="0" applyBorder="0" applyAlignment="0" applyProtection="0"/>
    <xf numFmtId="0" fontId="62" fillId="69" borderId="0" applyNumberFormat="0" applyBorder="0" applyAlignment="0" applyProtection="0"/>
    <xf numFmtId="0" fontId="62" fillId="6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0" fillId="29" borderId="0" applyNumberFormat="0" applyBorder="0" applyAlignment="0" applyProtection="0"/>
    <xf numFmtId="0" fontId="61" fillId="55" borderId="0" applyNumberFormat="0" applyBorder="0" applyAlignment="0" applyProtection="0"/>
    <xf numFmtId="0" fontId="61" fillId="56" borderId="0" applyNumberFormat="0" applyBorder="0" applyAlignment="0" applyProtection="0"/>
    <xf numFmtId="0" fontId="62" fillId="56"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2" fillId="70" borderId="0" applyNumberFormat="0" applyBorder="0" applyAlignment="0" applyProtection="0"/>
    <xf numFmtId="0" fontId="62" fillId="53" borderId="0" applyNumberFormat="0" applyBorder="0" applyAlignment="0" applyProtection="0"/>
    <xf numFmtId="0" fontId="62" fillId="70" borderId="0" applyNumberFormat="0" applyBorder="0" applyAlignment="0" applyProtection="0"/>
    <xf numFmtId="0" fontId="62" fillId="70"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1" fillId="71" borderId="0" applyNumberFormat="0" applyBorder="0" applyAlignment="0" applyProtection="0"/>
    <xf numFmtId="0" fontId="61" fillId="61" borderId="0" applyNumberFormat="0" applyBorder="0" applyAlignment="0" applyProtection="0"/>
    <xf numFmtId="0" fontId="62" fillId="72"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2" fillId="73" borderId="0" applyNumberFormat="0" applyBorder="0" applyAlignment="0" applyProtection="0"/>
    <xf numFmtId="0" fontId="62" fillId="74" borderId="0" applyNumberFormat="0" applyBorder="0" applyAlignment="0" applyProtection="0"/>
    <xf numFmtId="0" fontId="62" fillId="73" borderId="0" applyNumberFormat="0" applyBorder="0" applyAlignment="0" applyProtection="0"/>
    <xf numFmtId="0" fontId="62" fillId="73"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3" fillId="61" borderId="0" applyNumberFormat="0" applyBorder="0" applyAlignment="0" applyProtection="0"/>
    <xf numFmtId="0" fontId="64" fillId="42" borderId="0" applyNumberFormat="0" applyBorder="0" applyAlignment="0" applyProtection="0"/>
    <xf numFmtId="0" fontId="51" fillId="11" borderId="0" applyNumberFormat="0" applyBorder="0" applyAlignment="0" applyProtection="0"/>
    <xf numFmtId="0" fontId="65" fillId="75" borderId="29" applyNumberFormat="0" applyAlignment="0" applyProtection="0"/>
    <xf numFmtId="0" fontId="66" fillId="76" borderId="29" applyNumberFormat="0" applyAlignment="0" applyProtection="0"/>
    <xf numFmtId="0" fontId="55" fillId="14" borderId="23" applyNumberFormat="0" applyAlignment="0" applyProtection="0"/>
    <xf numFmtId="0" fontId="67" fillId="62" borderId="30" applyNumberFormat="0" applyAlignment="0" applyProtection="0"/>
    <xf numFmtId="0" fontId="67" fillId="77" borderId="30" applyNumberFormat="0" applyAlignment="0" applyProtection="0"/>
    <xf numFmtId="0" fontId="57" fillId="15" borderId="2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19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8" fillId="78" borderId="0" applyNumberFormat="0" applyBorder="0" applyAlignment="0" applyProtection="0"/>
    <xf numFmtId="0" fontId="68" fillId="79" borderId="0" applyNumberFormat="0" applyBorder="0" applyAlignment="0" applyProtection="0"/>
    <xf numFmtId="0" fontId="68" fillId="80" borderId="0" applyNumberFormat="0" applyBorder="0" applyAlignment="0" applyProtection="0"/>
    <xf numFmtId="195" fontId="69" fillId="0" borderId="0"/>
    <xf numFmtId="195" fontId="69" fillId="0" borderId="0"/>
    <xf numFmtId="188" fontId="1" fillId="0" borderId="0"/>
    <xf numFmtId="188" fontId="1" fillId="0" borderId="0"/>
    <xf numFmtId="188" fontId="1" fillId="0" borderId="0"/>
    <xf numFmtId="188" fontId="1" fillId="0" borderId="0"/>
    <xf numFmtId="0" fontId="70" fillId="0" borderId="0" applyNumberFormat="0" applyFill="0" applyBorder="0" applyAlignment="0" applyProtection="0"/>
    <xf numFmtId="0" fontId="59" fillId="0" borderId="0" applyNumberFormat="0" applyFill="0" applyBorder="0" applyAlignment="0" applyProtection="0"/>
    <xf numFmtId="0" fontId="71" fillId="81" borderId="0" applyNumberFormat="0" applyBorder="0" applyAlignment="0" applyProtection="0"/>
    <xf numFmtId="0" fontId="71" fillId="43" borderId="0" applyNumberFormat="0" applyBorder="0" applyAlignment="0" applyProtection="0"/>
    <xf numFmtId="0" fontId="50" fillId="10" borderId="0" applyNumberFormat="0" applyBorder="0" applyAlignment="0" applyProtection="0"/>
    <xf numFmtId="38" fontId="36" fillId="6" borderId="0" applyNumberFormat="0" applyBorder="0" applyAlignment="0" applyProtection="0"/>
    <xf numFmtId="38" fontId="36" fillId="6" borderId="0" applyNumberFormat="0" applyBorder="0" applyAlignment="0" applyProtection="0"/>
    <xf numFmtId="0" fontId="72" fillId="0" borderId="31" applyNumberFormat="0" applyFill="0" applyAlignment="0" applyProtection="0"/>
    <xf numFmtId="0" fontId="73" fillId="0" borderId="32" applyNumberFormat="0" applyFill="0" applyAlignment="0" applyProtection="0"/>
    <xf numFmtId="0" fontId="47" fillId="0" borderId="20" applyNumberFormat="0" applyFill="0" applyAlignment="0" applyProtection="0"/>
    <xf numFmtId="0" fontId="74" fillId="0" borderId="33" applyNumberFormat="0" applyFill="0" applyAlignment="0" applyProtection="0"/>
    <xf numFmtId="0" fontId="75" fillId="0" borderId="33" applyNumberFormat="0" applyFill="0" applyAlignment="0" applyProtection="0"/>
    <xf numFmtId="0" fontId="48" fillId="0" borderId="21" applyNumberFormat="0" applyFill="0" applyAlignment="0" applyProtection="0"/>
    <xf numFmtId="0" fontId="76" fillId="0" borderId="34" applyNumberFormat="0" applyFill="0" applyAlignment="0" applyProtection="0"/>
    <xf numFmtId="0" fontId="77" fillId="0" borderId="35" applyNumberFormat="0" applyFill="0" applyAlignment="0" applyProtection="0"/>
    <xf numFmtId="0" fontId="49" fillId="0" borderId="22" applyNumberFormat="0" applyFill="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49" fillId="0" borderId="0" applyNumberFormat="0" applyFill="0" applyBorder="0" applyAlignment="0" applyProtection="0"/>
    <xf numFmtId="10" fontId="36" fillId="2" borderId="2" applyNumberFormat="0" applyBorder="0" applyAlignment="0" applyProtection="0"/>
    <xf numFmtId="10" fontId="36" fillId="2" borderId="2" applyNumberFormat="0" applyBorder="0" applyAlignment="0" applyProtection="0"/>
    <xf numFmtId="0" fontId="53" fillId="13" borderId="23" applyNumberFormat="0" applyAlignment="0" applyProtection="0"/>
    <xf numFmtId="0" fontId="53" fillId="13" borderId="23" applyNumberFormat="0" applyAlignment="0" applyProtection="0"/>
    <xf numFmtId="0" fontId="53" fillId="13" borderId="23" applyNumberFormat="0" applyAlignment="0" applyProtection="0"/>
    <xf numFmtId="0" fontId="78" fillId="72" borderId="29" applyNumberFormat="0" applyAlignment="0" applyProtection="0"/>
    <xf numFmtId="0" fontId="79" fillId="46" borderId="29" applyNumberFormat="0" applyAlignment="0" applyProtection="0"/>
    <xf numFmtId="0" fontId="78" fillId="72" borderId="29" applyNumberFormat="0" applyAlignment="0" applyProtection="0"/>
    <xf numFmtId="0" fontId="78" fillId="72" borderId="29" applyNumberFormat="0" applyAlignment="0" applyProtection="0"/>
    <xf numFmtId="0" fontId="53" fillId="13" borderId="23" applyNumberFormat="0" applyAlignment="0" applyProtection="0"/>
    <xf numFmtId="0" fontId="53" fillId="13" borderId="23" applyNumberFormat="0" applyAlignment="0" applyProtection="0"/>
    <xf numFmtId="0" fontId="53" fillId="13" borderId="23" applyNumberFormat="0" applyAlignment="0" applyProtection="0"/>
    <xf numFmtId="0" fontId="53" fillId="13" borderId="23" applyNumberFormat="0" applyAlignment="0" applyProtection="0"/>
    <xf numFmtId="0" fontId="53" fillId="13" borderId="23" applyNumberFormat="0" applyAlignment="0" applyProtection="0"/>
    <xf numFmtId="0" fontId="80" fillId="0" borderId="36" applyNumberFormat="0" applyFill="0" applyAlignment="0" applyProtection="0"/>
    <xf numFmtId="0" fontId="81" fillId="0" borderId="37" applyNumberFormat="0" applyFill="0" applyAlignment="0" applyProtection="0"/>
    <xf numFmtId="0" fontId="56" fillId="0" borderId="25" applyNumberFormat="0" applyFill="0" applyAlignment="0" applyProtection="0"/>
    <xf numFmtId="0" fontId="82" fillId="72" borderId="0" applyNumberFormat="0" applyBorder="0" applyAlignment="0" applyProtection="0"/>
    <xf numFmtId="0" fontId="82" fillId="82" borderId="0" applyNumberFormat="0" applyBorder="0" applyAlignment="0" applyProtection="0"/>
    <xf numFmtId="0" fontId="52" fillId="12" borderId="0" applyNumberFormat="0" applyBorder="0" applyAlignment="0" applyProtection="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6" fontId="84" fillId="0" borderId="0">
      <alignment horizontal="left" wrapText="1"/>
    </xf>
    <xf numFmtId="0" fontId="1" fillId="0" borderId="0"/>
    <xf numFmtId="0" fontId="1" fillId="0" borderId="0"/>
    <xf numFmtId="0" fontId="1" fillId="0" borderId="0"/>
    <xf numFmtId="0" fontId="6" fillId="0" borderId="0"/>
    <xf numFmtId="0" fontId="6" fillId="0" borderId="0"/>
    <xf numFmtId="0" fontId="83" fillId="0" borderId="0"/>
    <xf numFmtId="0" fontId="1" fillId="0" borderId="0"/>
    <xf numFmtId="0" fontId="85"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1" fillId="71" borderId="38" applyNumberFormat="0" applyFont="0" applyAlignment="0" applyProtection="0"/>
    <xf numFmtId="0" fontId="1" fillId="71" borderId="38" applyNumberFormat="0" applyFont="0" applyAlignment="0" applyProtection="0"/>
    <xf numFmtId="0" fontId="1" fillId="83" borderId="38" applyNumberFormat="0" applyFont="0" applyAlignment="0" applyProtection="0"/>
    <xf numFmtId="0" fontId="1" fillId="71" borderId="38" applyNumberFormat="0" applyFont="0" applyAlignment="0" applyProtection="0"/>
    <xf numFmtId="0" fontId="1" fillId="71" borderId="38" applyNumberFormat="0" applyFont="0" applyAlignment="0" applyProtection="0"/>
    <xf numFmtId="0" fontId="1" fillId="71" borderId="38" applyNumberFormat="0" applyFont="0" applyAlignment="0" applyProtection="0"/>
    <xf numFmtId="0" fontId="9" fillId="16" borderId="27" applyNumberFormat="0" applyFont="0" applyAlignment="0" applyProtection="0"/>
    <xf numFmtId="0" fontId="9" fillId="16" borderId="27" applyNumberFormat="0" applyFont="0" applyAlignment="0" applyProtection="0"/>
    <xf numFmtId="0" fontId="9" fillId="16" borderId="27" applyNumberFormat="0" applyFont="0" applyAlignment="0" applyProtection="0"/>
    <xf numFmtId="0" fontId="6" fillId="16" borderId="27" applyNumberFormat="0" applyFont="0" applyAlignment="0" applyProtection="0"/>
    <xf numFmtId="0" fontId="86" fillId="75" borderId="39" applyNumberFormat="0" applyAlignment="0" applyProtection="0"/>
    <xf numFmtId="0" fontId="86" fillId="76" borderId="39" applyNumberFormat="0" applyAlignment="0" applyProtection="0"/>
    <xf numFmtId="0" fontId="54" fillId="14" borderId="24"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87" fillId="82" borderId="40" applyNumberFormat="0" applyProtection="0">
      <alignment vertical="center"/>
    </xf>
    <xf numFmtId="4" fontId="88" fillId="82" borderId="40" applyNumberFormat="0" applyProtection="0">
      <alignment vertical="center"/>
    </xf>
    <xf numFmtId="4" fontId="87" fillId="82" borderId="40" applyNumberFormat="0" applyProtection="0">
      <alignment horizontal="left" vertical="center" indent="1"/>
    </xf>
    <xf numFmtId="0" fontId="87" fillId="82" borderId="40" applyNumberFormat="0" applyProtection="0">
      <alignment horizontal="left" vertical="top" indent="1"/>
    </xf>
    <xf numFmtId="4" fontId="87" fillId="84" borderId="0" applyNumberFormat="0" applyProtection="0">
      <alignment horizontal="left" vertical="center" indent="1"/>
    </xf>
    <xf numFmtId="4" fontId="5" fillId="42" borderId="40" applyNumberFormat="0" applyProtection="0">
      <alignment horizontal="right" vertical="center"/>
    </xf>
    <xf numFmtId="4" fontId="5" fillId="48" borderId="40" applyNumberFormat="0" applyProtection="0">
      <alignment horizontal="right" vertical="center"/>
    </xf>
    <xf numFmtId="4" fontId="5" fillId="64" borderId="40" applyNumberFormat="0" applyProtection="0">
      <alignment horizontal="right" vertical="center"/>
    </xf>
    <xf numFmtId="4" fontId="5" fillId="50" borderId="40" applyNumberFormat="0" applyProtection="0">
      <alignment horizontal="right" vertical="center"/>
    </xf>
    <xf numFmtId="4" fontId="5" fillId="54" borderId="40" applyNumberFormat="0" applyProtection="0">
      <alignment horizontal="right" vertical="center"/>
    </xf>
    <xf numFmtId="4" fontId="5" fillId="74" borderId="40" applyNumberFormat="0" applyProtection="0">
      <alignment horizontal="right" vertical="center"/>
    </xf>
    <xf numFmtId="4" fontId="5" fillId="68" borderId="40" applyNumberFormat="0" applyProtection="0">
      <alignment horizontal="right" vertical="center"/>
    </xf>
    <xf numFmtId="4" fontId="5" fillId="85" borderId="40" applyNumberFormat="0" applyProtection="0">
      <alignment horizontal="right" vertical="center"/>
    </xf>
    <xf numFmtId="4" fontId="5" fillId="49" borderId="40" applyNumberFormat="0" applyProtection="0">
      <alignment horizontal="right" vertical="center"/>
    </xf>
    <xf numFmtId="4" fontId="87" fillId="86" borderId="41" applyNumberFormat="0" applyProtection="0">
      <alignment horizontal="left" vertical="center" indent="1"/>
    </xf>
    <xf numFmtId="4" fontId="5" fillId="87" borderId="0" applyNumberFormat="0" applyProtection="0">
      <alignment horizontal="left" vertical="center" indent="1"/>
    </xf>
    <xf numFmtId="4" fontId="89" fillId="88" borderId="0" applyNumberFormat="0" applyProtection="0">
      <alignment horizontal="left" vertical="center" indent="1"/>
    </xf>
    <xf numFmtId="4" fontId="5" fillId="84" borderId="40" applyNumberFormat="0" applyProtection="0">
      <alignment horizontal="right" vertical="center"/>
    </xf>
    <xf numFmtId="4" fontId="5" fillId="87" borderId="0" applyNumberFormat="0" applyProtection="0">
      <alignment horizontal="left" vertical="center" indent="1"/>
    </xf>
    <xf numFmtId="4" fontId="5" fillId="87" borderId="0" applyNumberFormat="0" applyProtection="0">
      <alignment horizontal="left" vertical="center" indent="1"/>
    </xf>
    <xf numFmtId="4" fontId="5" fillId="87" borderId="0" applyNumberFormat="0" applyProtection="0">
      <alignment horizontal="left" vertical="center" indent="1"/>
    </xf>
    <xf numFmtId="4" fontId="5" fillId="84" borderId="0" applyNumberFormat="0" applyProtection="0">
      <alignment horizontal="left" vertical="center" indent="1"/>
    </xf>
    <xf numFmtId="4" fontId="5" fillId="84" borderId="0" applyNumberFormat="0" applyProtection="0">
      <alignment horizontal="left" vertical="center" indent="1"/>
    </xf>
    <xf numFmtId="4" fontId="5" fillId="84" borderId="0" applyNumberFormat="0" applyProtection="0">
      <alignment horizontal="left" vertical="center" indent="1"/>
    </xf>
    <xf numFmtId="0" fontId="1" fillId="88" borderId="40" applyNumberFormat="0" applyProtection="0">
      <alignment horizontal="left" vertical="center" indent="1"/>
    </xf>
    <xf numFmtId="0" fontId="1" fillId="88" borderId="40" applyNumberFormat="0" applyProtection="0">
      <alignment horizontal="left" vertical="center" indent="1"/>
    </xf>
    <xf numFmtId="0" fontId="1" fillId="88" borderId="40" applyNumberFormat="0" applyProtection="0">
      <alignment horizontal="left" vertical="center" indent="1"/>
    </xf>
    <xf numFmtId="0" fontId="1" fillId="88" borderId="40" applyNumberFormat="0" applyProtection="0">
      <alignment horizontal="left" vertical="center" indent="1"/>
    </xf>
    <xf numFmtId="0" fontId="1" fillId="88" borderId="40" applyNumberFormat="0" applyProtection="0">
      <alignment horizontal="left" vertical="center" indent="1"/>
    </xf>
    <xf numFmtId="0" fontId="1" fillId="88" borderId="40" applyNumberFormat="0" applyProtection="0">
      <alignment horizontal="left" vertical="top" indent="1"/>
    </xf>
    <xf numFmtId="0" fontId="1" fillId="88" borderId="40" applyNumberFormat="0" applyProtection="0">
      <alignment horizontal="left" vertical="top" indent="1"/>
    </xf>
    <xf numFmtId="0" fontId="1" fillId="88" borderId="40" applyNumberFormat="0" applyProtection="0">
      <alignment horizontal="left" vertical="top" indent="1"/>
    </xf>
    <xf numFmtId="0" fontId="1" fillId="88" borderId="40" applyNumberFormat="0" applyProtection="0">
      <alignment horizontal="left" vertical="top" indent="1"/>
    </xf>
    <xf numFmtId="0" fontId="1" fillId="88" borderId="40" applyNumberFormat="0" applyProtection="0">
      <alignment horizontal="left" vertical="top" indent="1"/>
    </xf>
    <xf numFmtId="0" fontId="1" fillId="84" borderId="40" applyNumberFormat="0" applyProtection="0">
      <alignment horizontal="left" vertical="center" indent="1"/>
    </xf>
    <xf numFmtId="0" fontId="1" fillId="84" borderId="40" applyNumberFormat="0" applyProtection="0">
      <alignment horizontal="left" vertical="center" indent="1"/>
    </xf>
    <xf numFmtId="0" fontId="1" fillId="84" borderId="40" applyNumberFormat="0" applyProtection="0">
      <alignment horizontal="left" vertical="center" indent="1"/>
    </xf>
    <xf numFmtId="0" fontId="1" fillId="84" borderId="40" applyNumberFormat="0" applyProtection="0">
      <alignment horizontal="left" vertical="center" indent="1"/>
    </xf>
    <xf numFmtId="0" fontId="1" fillId="84" borderId="40" applyNumberFormat="0" applyProtection="0">
      <alignment horizontal="left" vertical="center" indent="1"/>
    </xf>
    <xf numFmtId="0" fontId="1" fillId="84" borderId="40" applyNumberFormat="0" applyProtection="0">
      <alignment horizontal="left" vertical="top" indent="1"/>
    </xf>
    <xf numFmtId="0" fontId="1" fillId="84" borderId="40" applyNumberFormat="0" applyProtection="0">
      <alignment horizontal="left" vertical="top" indent="1"/>
    </xf>
    <xf numFmtId="0" fontId="1" fillId="84" borderId="40" applyNumberFormat="0" applyProtection="0">
      <alignment horizontal="left" vertical="top" indent="1"/>
    </xf>
    <xf numFmtId="0" fontId="1" fillId="84" borderId="40" applyNumberFormat="0" applyProtection="0">
      <alignment horizontal="left" vertical="top" indent="1"/>
    </xf>
    <xf numFmtId="0" fontId="1" fillId="84" borderId="40" applyNumberFormat="0" applyProtection="0">
      <alignment horizontal="left" vertical="top" indent="1"/>
    </xf>
    <xf numFmtId="0" fontId="1" fillId="47" borderId="40" applyNumberFormat="0" applyProtection="0">
      <alignment horizontal="left" vertical="center" indent="1"/>
    </xf>
    <xf numFmtId="0" fontId="1" fillId="47" borderId="40" applyNumberFormat="0" applyProtection="0">
      <alignment horizontal="left" vertical="center" indent="1"/>
    </xf>
    <xf numFmtId="0" fontId="1" fillId="47" borderId="40" applyNumberFormat="0" applyProtection="0">
      <alignment horizontal="left" vertical="center" indent="1"/>
    </xf>
    <xf numFmtId="0" fontId="1" fillId="47" borderId="40" applyNumberFormat="0" applyProtection="0">
      <alignment horizontal="left" vertical="center" indent="1"/>
    </xf>
    <xf numFmtId="0" fontId="1" fillId="47" borderId="40" applyNumberFormat="0" applyProtection="0">
      <alignment horizontal="left" vertical="center" indent="1"/>
    </xf>
    <xf numFmtId="0" fontId="1" fillId="47" borderId="40" applyNumberFormat="0" applyProtection="0">
      <alignment horizontal="left" vertical="top" indent="1"/>
    </xf>
    <xf numFmtId="0" fontId="1" fillId="47" borderId="40" applyNumberFormat="0" applyProtection="0">
      <alignment horizontal="left" vertical="top" indent="1"/>
    </xf>
    <xf numFmtId="0" fontId="1" fillId="47" borderId="40" applyNumberFormat="0" applyProtection="0">
      <alignment horizontal="left" vertical="top" indent="1"/>
    </xf>
    <xf numFmtId="0" fontId="1" fillId="47" borderId="40" applyNumberFormat="0" applyProtection="0">
      <alignment horizontal="left" vertical="top" indent="1"/>
    </xf>
    <xf numFmtId="0" fontId="1" fillId="47" borderId="40" applyNumberFormat="0" applyProtection="0">
      <alignment horizontal="left" vertical="top" indent="1"/>
    </xf>
    <xf numFmtId="0" fontId="1" fillId="87" borderId="40" applyNumberFormat="0" applyProtection="0">
      <alignment horizontal="left" vertical="center" indent="1"/>
    </xf>
    <xf numFmtId="0" fontId="1" fillId="87" borderId="40" applyNumberFormat="0" applyProtection="0">
      <alignment horizontal="left" vertical="center" indent="1"/>
    </xf>
    <xf numFmtId="0" fontId="1" fillId="87" borderId="40" applyNumberFormat="0" applyProtection="0">
      <alignment horizontal="left" vertical="center" indent="1"/>
    </xf>
    <xf numFmtId="0" fontId="1" fillId="87" borderId="40" applyNumberFormat="0" applyProtection="0">
      <alignment horizontal="left" vertical="center" indent="1"/>
    </xf>
    <xf numFmtId="0" fontId="1" fillId="87" borderId="40" applyNumberFormat="0" applyProtection="0">
      <alignment horizontal="left" vertical="center" indent="1"/>
    </xf>
    <xf numFmtId="0" fontId="1" fillId="87" borderId="40" applyNumberFormat="0" applyProtection="0">
      <alignment horizontal="left" vertical="top" indent="1"/>
    </xf>
    <xf numFmtId="0" fontId="1" fillId="87" borderId="40" applyNumberFormat="0" applyProtection="0">
      <alignment horizontal="left" vertical="top" indent="1"/>
    </xf>
    <xf numFmtId="0" fontId="1" fillId="87" borderId="40" applyNumberFormat="0" applyProtection="0">
      <alignment horizontal="left" vertical="top" indent="1"/>
    </xf>
    <xf numFmtId="0" fontId="1" fillId="87" borderId="40" applyNumberFormat="0" applyProtection="0">
      <alignment horizontal="left" vertical="top" indent="1"/>
    </xf>
    <xf numFmtId="0" fontId="1" fillId="87" borderId="40" applyNumberFormat="0" applyProtection="0">
      <alignment horizontal="left" vertical="top" indent="1"/>
    </xf>
    <xf numFmtId="0" fontId="1" fillId="89" borderId="2" applyNumberFormat="0">
      <protection locked="0"/>
    </xf>
    <xf numFmtId="0" fontId="1" fillId="89" borderId="2" applyNumberFormat="0">
      <protection locked="0"/>
    </xf>
    <xf numFmtId="0" fontId="1" fillId="89" borderId="2" applyNumberFormat="0">
      <protection locked="0"/>
    </xf>
    <xf numFmtId="0" fontId="1" fillId="89" borderId="2" applyNumberFormat="0">
      <protection locked="0"/>
    </xf>
    <xf numFmtId="0" fontId="1" fillId="89" borderId="2" applyNumberFormat="0">
      <protection locked="0"/>
    </xf>
    <xf numFmtId="4" fontId="5" fillId="83" borderId="40" applyNumberFormat="0" applyProtection="0">
      <alignment vertical="center"/>
    </xf>
    <xf numFmtId="4" fontId="90" fillId="83" borderId="40" applyNumberFormat="0" applyProtection="0">
      <alignment vertical="center"/>
    </xf>
    <xf numFmtId="4" fontId="5" fillId="83" borderId="40" applyNumberFormat="0" applyProtection="0">
      <alignment horizontal="left" vertical="center" indent="1"/>
    </xf>
    <xf numFmtId="0" fontId="5" fillId="83" borderId="40" applyNumberFormat="0" applyProtection="0">
      <alignment horizontal="left" vertical="top" indent="1"/>
    </xf>
    <xf numFmtId="4" fontId="5" fillId="87" borderId="40" applyNumberFormat="0" applyProtection="0">
      <alignment horizontal="right" vertical="center"/>
    </xf>
    <xf numFmtId="4" fontId="90" fillId="87" borderId="40" applyNumberFormat="0" applyProtection="0">
      <alignment horizontal="right" vertical="center"/>
    </xf>
    <xf numFmtId="4" fontId="5" fillId="84" borderId="40" applyNumberFormat="0" applyProtection="0">
      <alignment horizontal="left" vertical="center" indent="1"/>
    </xf>
    <xf numFmtId="0" fontId="5" fillId="84" borderId="40" applyNumberFormat="0" applyProtection="0">
      <alignment horizontal="left" vertical="top" indent="1"/>
    </xf>
    <xf numFmtId="4" fontId="91" fillId="90" borderId="0" applyNumberFormat="0" applyProtection="0">
      <alignment horizontal="left" vertical="center" indent="1"/>
    </xf>
    <xf numFmtId="4" fontId="92" fillId="87" borderId="40" applyNumberFormat="0" applyProtection="0">
      <alignment horizontal="right" vertical="center"/>
    </xf>
    <xf numFmtId="0" fontId="93" fillId="0" borderId="0" applyNumberFormat="0" applyFill="0" applyBorder="0" applyAlignment="0" applyProtection="0"/>
    <xf numFmtId="0" fontId="94" fillId="0" borderId="0" applyNumberFormat="0" applyFill="0" applyBorder="0" applyAlignment="0" applyProtection="0"/>
    <xf numFmtId="0" fontId="68" fillId="0" borderId="42" applyNumberFormat="0" applyFill="0" applyAlignment="0" applyProtection="0"/>
    <xf numFmtId="0" fontId="68" fillId="0" borderId="43" applyNumberFormat="0" applyFill="0" applyAlignment="0" applyProtection="0"/>
    <xf numFmtId="0" fontId="8" fillId="0" borderId="28" applyNumberFormat="0" applyFill="0" applyAlignment="0" applyProtection="0"/>
    <xf numFmtId="0" fontId="95" fillId="0" borderId="0" applyNumberFormat="0" applyFill="0" applyBorder="0" applyAlignment="0" applyProtection="0"/>
    <xf numFmtId="0" fontId="58" fillId="0" borderId="0" applyNumberFormat="0" applyFill="0" applyBorder="0" applyAlignment="0" applyProtection="0"/>
    <xf numFmtId="0" fontId="1" fillId="0" borderId="0"/>
    <xf numFmtId="196" fontId="1" fillId="0" borderId="0">
      <alignment horizontal="left" wrapText="1"/>
    </xf>
    <xf numFmtId="43" fontId="1" fillId="0" borderId="0" applyFont="0" applyFill="0" applyBorder="0" applyAlignment="0" applyProtection="0"/>
  </cellStyleXfs>
  <cellXfs count="636">
    <xf numFmtId="0" fontId="0" fillId="0" borderId="0" xfId="0"/>
    <xf numFmtId="37" fontId="1" fillId="0" borderId="0" xfId="0" applyNumberFormat="1" applyFont="1" applyBorder="1"/>
    <xf numFmtId="167" fontId="1" fillId="0" borderId="0" xfId="0" applyNumberFormat="1" applyFont="1" applyBorder="1" applyAlignment="1">
      <alignment horizontal="left"/>
    </xf>
    <xf numFmtId="168" fontId="21" fillId="0" borderId="0" xfId="0" applyNumberFormat="1" applyFont="1" applyFill="1" applyBorder="1"/>
    <xf numFmtId="172" fontId="1" fillId="0" borderId="0" xfId="0" applyNumberFormat="1" applyFont="1" applyFill="1" applyBorder="1" applyAlignment="1">
      <alignment horizontal="left"/>
    </xf>
    <xf numFmtId="7" fontId="1" fillId="0" borderId="0" xfId="0" applyNumberFormat="1" applyFont="1" applyAlignment="1"/>
    <xf numFmtId="169" fontId="1" fillId="0" borderId="0" xfId="0" applyNumberFormat="1" applyFont="1" applyFill="1" applyBorder="1"/>
    <xf numFmtId="169" fontId="21" fillId="0" borderId="0" xfId="0" applyNumberFormat="1" applyFont="1" applyFill="1" applyBorder="1"/>
    <xf numFmtId="9" fontId="1" fillId="0" borderId="0" xfId="0" applyNumberFormat="1" applyFont="1" applyFill="1" applyBorder="1"/>
    <xf numFmtId="9" fontId="21" fillId="0" borderId="0" xfId="0" applyNumberFormat="1" applyFont="1" applyFill="1" applyBorder="1"/>
    <xf numFmtId="0" fontId="1" fillId="0" borderId="0" xfId="0" applyFont="1" applyFill="1" applyBorder="1" applyProtection="1">
      <protection locked="0"/>
    </xf>
    <xf numFmtId="0" fontId="2" fillId="0" borderId="0" xfId="0" applyFont="1" applyFill="1" applyBorder="1" applyProtection="1">
      <protection locked="0"/>
    </xf>
    <xf numFmtId="3" fontId="1" fillId="0" borderId="0" xfId="0" applyNumberFormat="1" applyFont="1" applyFill="1" applyBorder="1"/>
    <xf numFmtId="175" fontId="1" fillId="0" borderId="0" xfId="0" applyNumberFormat="1" applyFont="1" applyAlignment="1"/>
    <xf numFmtId="172" fontId="1" fillId="0" borderId="0" xfId="0" applyNumberFormat="1" applyFont="1" applyAlignment="1"/>
    <xf numFmtId="173" fontId="1" fillId="0" borderId="0" xfId="0" applyNumberFormat="1" applyFont="1" applyFill="1" applyBorder="1"/>
    <xf numFmtId="173" fontId="21" fillId="0" borderId="0" xfId="0" applyNumberFormat="1" applyFont="1" applyFill="1" applyBorder="1"/>
    <xf numFmtId="3" fontId="21" fillId="0" borderId="0" xfId="0" applyNumberFormat="1" applyFont="1" applyFill="1" applyBorder="1"/>
    <xf numFmtId="167" fontId="1" fillId="0" borderId="0" xfId="0" applyNumberFormat="1" applyFont="1" applyBorder="1"/>
    <xf numFmtId="172" fontId="1" fillId="0" borderId="0" xfId="0" applyNumberFormat="1" applyFont="1" applyBorder="1" applyAlignment="1">
      <alignment horizontal="left"/>
    </xf>
    <xf numFmtId="0" fontId="1" fillId="0" borderId="0" xfId="0" applyFont="1" applyBorder="1" applyProtection="1">
      <protection locked="0"/>
    </xf>
    <xf numFmtId="0" fontId="2" fillId="0" borderId="0" xfId="0" applyFont="1" applyBorder="1" applyProtection="1">
      <protection locked="0"/>
    </xf>
    <xf numFmtId="167" fontId="1" fillId="0" borderId="0" xfId="0" applyNumberFormat="1" applyFont="1" applyBorder="1" applyAlignment="1">
      <alignment horizontal="center"/>
    </xf>
    <xf numFmtId="0" fontId="1" fillId="0" borderId="0" xfId="0" applyFont="1" applyBorder="1"/>
    <xf numFmtId="9" fontId="1" fillId="0" borderId="5" xfId="0" applyNumberFormat="1" applyFont="1" applyBorder="1" applyAlignment="1">
      <alignment horizontal="center"/>
    </xf>
    <xf numFmtId="167" fontId="1" fillId="0" borderId="0" xfId="0" applyNumberFormat="1" applyFont="1" applyBorder="1" applyAlignment="1"/>
    <xf numFmtId="0" fontId="1" fillId="0" borderId="5" xfId="0" applyFont="1" applyBorder="1" applyAlignment="1">
      <alignment horizontal="center"/>
    </xf>
    <xf numFmtId="0" fontId="1" fillId="0" borderId="5" xfId="0" applyFont="1" applyBorder="1"/>
    <xf numFmtId="0" fontId="1" fillId="0" borderId="0" xfId="0" applyFont="1" applyBorder="1" applyAlignment="1">
      <alignment horizontal="left"/>
    </xf>
    <xf numFmtId="9" fontId="1" fillId="0" borderId="0" xfId="0" applyNumberFormat="1" applyFont="1" applyBorder="1" applyAlignment="1">
      <alignment horizontal="center"/>
    </xf>
    <xf numFmtId="169" fontId="1" fillId="0" borderId="0" xfId="0" applyNumberFormat="1" applyFont="1" applyBorder="1" applyAlignment="1"/>
    <xf numFmtId="0" fontId="1" fillId="0" borderId="0" xfId="0" applyFont="1" applyBorder="1" applyAlignment="1">
      <alignment horizontal="center"/>
    </xf>
    <xf numFmtId="0" fontId="9" fillId="0" borderId="0" xfId="0" applyFont="1"/>
    <xf numFmtId="0" fontId="7" fillId="0" borderId="0" xfId="0" applyFont="1"/>
    <xf numFmtId="0" fontId="10" fillId="0" borderId="0" xfId="0" applyFont="1" applyAlignment="1">
      <alignment horizontal="left"/>
    </xf>
    <xf numFmtId="0" fontId="9" fillId="0" borderId="5" xfId="0" applyFont="1" applyBorder="1"/>
    <xf numFmtId="43" fontId="7" fillId="0" borderId="0" xfId="0" applyNumberFormat="1" applyFont="1"/>
    <xf numFmtId="41" fontId="2" fillId="3" borderId="5" xfId="0" applyNumberFormat="1" applyFont="1" applyFill="1" applyBorder="1" applyAlignment="1">
      <alignment horizontal="center" vertical="center" wrapText="1"/>
    </xf>
    <xf numFmtId="0" fontId="9" fillId="3" borderId="5" xfId="0" applyFont="1" applyFill="1" applyBorder="1"/>
    <xf numFmtId="0" fontId="9" fillId="3" borderId="0" xfId="0" applyFont="1" applyFill="1"/>
    <xf numFmtId="0" fontId="9" fillId="3" borderId="0" xfId="0" applyFont="1" applyFill="1" applyAlignment="1">
      <alignment horizontal="center"/>
    </xf>
    <xf numFmtId="0" fontId="10" fillId="3" borderId="0" xfId="0" applyFont="1" applyFill="1" applyAlignment="1">
      <alignment horizontal="left"/>
    </xf>
    <xf numFmtId="165" fontId="9" fillId="3" borderId="0" xfId="0" applyNumberFormat="1" applyFont="1" applyFill="1"/>
    <xf numFmtId="164" fontId="9" fillId="3" borderId="0" xfId="0" applyNumberFormat="1" applyFont="1" applyFill="1" applyBorder="1"/>
    <xf numFmtId="44" fontId="9" fillId="3" borderId="0" xfId="0" applyNumberFormat="1" applyFont="1" applyFill="1" applyBorder="1"/>
    <xf numFmtId="0" fontId="7" fillId="3" borderId="0" xfId="0" applyFont="1" applyFill="1"/>
    <xf numFmtId="44" fontId="9" fillId="3" borderId="0" xfId="0" applyNumberFormat="1" applyFont="1" applyFill="1"/>
    <xf numFmtId="165" fontId="7" fillId="3" borderId="0" xfId="0" applyNumberFormat="1" applyFont="1" applyFill="1"/>
    <xf numFmtId="43" fontId="7" fillId="3" borderId="0" xfId="0" applyNumberFormat="1" applyFont="1" applyFill="1"/>
    <xf numFmtId="44" fontId="7" fillId="0" borderId="0" xfId="0" applyNumberFormat="1" applyFont="1"/>
    <xf numFmtId="166" fontId="9" fillId="0" borderId="0" xfId="0" applyNumberFormat="1" applyFont="1" applyBorder="1" applyAlignment="1">
      <alignment horizontal="center"/>
    </xf>
    <xf numFmtId="41" fontId="2" fillId="2" borderId="5" xfId="0" applyNumberFormat="1" applyFont="1" applyFill="1" applyBorder="1" applyAlignment="1">
      <alignment horizontal="center" vertical="center" wrapText="1"/>
    </xf>
    <xf numFmtId="165" fontId="9" fillId="0" borderId="0" xfId="0" applyNumberFormat="1" applyFont="1" applyBorder="1"/>
    <xf numFmtId="0" fontId="13" fillId="0" borderId="0" xfId="0" applyFont="1" applyAlignment="1">
      <alignment horizontal="centerContinuous"/>
    </xf>
    <xf numFmtId="170" fontId="15" fillId="0" borderId="0" xfId="0" applyNumberFormat="1" applyFont="1" applyAlignment="1">
      <alignment horizontal="centerContinuous"/>
    </xf>
    <xf numFmtId="171" fontId="15" fillId="0" borderId="0" xfId="0" applyNumberFormat="1" applyFont="1" applyAlignment="1"/>
    <xf numFmtId="0" fontId="0" fillId="0" borderId="0" xfId="0" applyFont="1"/>
    <xf numFmtId="0" fontId="14" fillId="0" borderId="0" xfId="0" applyFont="1" applyAlignment="1">
      <alignment horizontal="centerContinuous"/>
    </xf>
    <xf numFmtId="170" fontId="15" fillId="0" borderId="0" xfId="0" applyNumberFormat="1" applyFont="1" applyBorder="1" applyAlignment="1">
      <alignment horizontal="centerContinuous"/>
    </xf>
    <xf numFmtId="0" fontId="14" fillId="0" borderId="0" xfId="0" applyFont="1" applyBorder="1" applyAlignment="1">
      <alignment horizontal="centerContinuous"/>
    </xf>
    <xf numFmtId="170" fontId="14" fillId="0" borderId="0" xfId="0" applyNumberFormat="1" applyFont="1" applyAlignment="1">
      <alignment horizontal="centerContinuous"/>
    </xf>
    <xf numFmtId="0" fontId="14" fillId="0" borderId="0" xfId="0" applyFont="1" applyAlignment="1"/>
    <xf numFmtId="171" fontId="14" fillId="0" borderId="0" xfId="0" applyNumberFormat="1" applyFont="1" applyAlignment="1"/>
    <xf numFmtId="0" fontId="14" fillId="0" borderId="0" xfId="0" applyFont="1"/>
    <xf numFmtId="0" fontId="15" fillId="0" borderId="0" xfId="0" applyFont="1"/>
    <xf numFmtId="0" fontId="15" fillId="0" borderId="0" xfId="0" applyFont="1" applyBorder="1" applyAlignment="1">
      <alignment horizontal="center"/>
    </xf>
    <xf numFmtId="0" fontId="15" fillId="0" borderId="0" xfId="0" applyFont="1" applyFill="1" applyBorder="1" applyAlignment="1">
      <alignment horizontal="center"/>
    </xf>
    <xf numFmtId="0" fontId="15" fillId="0" borderId="5" xfId="0" applyFont="1" applyBorder="1" applyAlignment="1">
      <alignment horizontal="centerContinuous"/>
    </xf>
    <xf numFmtId="169" fontId="15" fillId="0" borderId="5" xfId="0" applyNumberFormat="1" applyFont="1" applyBorder="1" applyAlignment="1">
      <alignment horizontal="centerContinuous"/>
    </xf>
    <xf numFmtId="169" fontId="15" fillId="0" borderId="0" xfId="0" applyNumberFormat="1" applyFont="1" applyBorder="1" applyAlignment="1"/>
    <xf numFmtId="0" fontId="15" fillId="0" borderId="0" xfId="0" applyFont="1" applyAlignment="1"/>
    <xf numFmtId="0" fontId="15" fillId="0" borderId="0" xfId="0" applyFont="1" applyBorder="1" applyAlignment="1">
      <alignment horizontal="left"/>
    </xf>
    <xf numFmtId="0" fontId="15" fillId="0" borderId="5" xfId="0" applyFont="1" applyBorder="1"/>
    <xf numFmtId="0" fontId="15" fillId="0" borderId="5" xfId="0" applyFont="1" applyBorder="1" applyAlignment="1">
      <alignment horizontal="center"/>
    </xf>
    <xf numFmtId="0" fontId="15" fillId="0" borderId="5" xfId="0" applyFont="1" applyFill="1" applyBorder="1" applyAlignment="1">
      <alignment horizontal="center"/>
    </xf>
    <xf numFmtId="169" fontId="15" fillId="0" borderId="5" xfId="0" applyNumberFormat="1" applyFont="1" applyBorder="1" applyAlignment="1">
      <alignment horizontal="center"/>
    </xf>
    <xf numFmtId="167" fontId="15" fillId="0" borderId="0" xfId="0" applyNumberFormat="1" applyFont="1" applyBorder="1" applyAlignment="1"/>
    <xf numFmtId="0" fontId="15" fillId="0" borderId="1" xfId="0" applyFont="1" applyBorder="1" applyAlignment="1">
      <alignment horizontal="center"/>
    </xf>
    <xf numFmtId="0" fontId="15" fillId="0" borderId="1" xfId="0" applyFont="1" applyBorder="1" applyAlignment="1"/>
    <xf numFmtId="0" fontId="15" fillId="0" borderId="0" xfId="0" applyFont="1" applyBorder="1" applyAlignment="1"/>
    <xf numFmtId="170" fontId="15" fillId="0" borderId="0" xfId="0" applyNumberFormat="1" applyFont="1" applyBorder="1" applyAlignment="1"/>
    <xf numFmtId="170" fontId="15" fillId="0" borderId="0" xfId="0" applyNumberFormat="1" applyFont="1" applyAlignment="1"/>
    <xf numFmtId="172" fontId="15" fillId="0" borderId="0" xfId="0" applyNumberFormat="1" applyFont="1" applyAlignment="1"/>
    <xf numFmtId="7" fontId="15" fillId="0" borderId="0" xfId="0" applyNumberFormat="1" applyFont="1" applyAlignment="1"/>
    <xf numFmtId="0" fontId="15" fillId="0" borderId="2" xfId="0" applyFont="1" applyBorder="1" applyAlignment="1">
      <alignment horizontal="center"/>
    </xf>
    <xf numFmtId="175" fontId="15" fillId="0" borderId="0" xfId="0" applyNumberFormat="1" applyFont="1" applyAlignment="1"/>
    <xf numFmtId="42" fontId="18" fillId="0" borderId="8" xfId="0" applyNumberFormat="1" applyFont="1" applyBorder="1" applyAlignment="1"/>
    <xf numFmtId="0" fontId="15" fillId="0" borderId="9" xfId="0" applyFont="1" applyBorder="1" applyAlignment="1">
      <alignment horizontal="center"/>
    </xf>
    <xf numFmtId="167" fontId="15" fillId="0" borderId="0" xfId="0" applyNumberFormat="1" applyFont="1" applyBorder="1"/>
    <xf numFmtId="170" fontId="15" fillId="0" borderId="8" xfId="0" applyNumberFormat="1" applyFont="1" applyBorder="1"/>
    <xf numFmtId="0" fontId="15" fillId="0" borderId="0" xfId="0" applyFont="1" applyFill="1"/>
    <xf numFmtId="167" fontId="17" fillId="0" borderId="9" xfId="0" applyNumberFormat="1" applyFont="1" applyBorder="1"/>
    <xf numFmtId="0" fontId="14" fillId="0" borderId="0" xfId="0" applyFont="1" applyFill="1" applyBorder="1"/>
    <xf numFmtId="3" fontId="15" fillId="0" borderId="0" xfId="0" applyNumberFormat="1" applyFont="1" applyFill="1" applyBorder="1" applyAlignment="1" applyProtection="1">
      <alignment horizontal="left"/>
      <protection locked="0"/>
    </xf>
    <xf numFmtId="174" fontId="15" fillId="0" borderId="0" xfId="0" applyNumberFormat="1" applyFont="1" applyBorder="1" applyAlignment="1">
      <alignment horizontal="right"/>
    </xf>
    <xf numFmtId="0" fontId="19" fillId="0" borderId="0" xfId="0" applyFont="1" applyBorder="1"/>
    <xf numFmtId="0" fontId="14" fillId="0" borderId="0" xfId="0" applyFont="1" applyBorder="1" applyProtection="1">
      <protection locked="0"/>
    </xf>
    <xf numFmtId="0" fontId="15" fillId="0" borderId="0" xfId="0" applyFont="1"/>
    <xf numFmtId="0" fontId="15" fillId="0" borderId="0" xfId="0" applyFont="1" applyBorder="1" applyProtection="1">
      <protection locked="0"/>
    </xf>
    <xf numFmtId="0" fontId="15" fillId="0" borderId="0" xfId="0" applyFont="1" applyFill="1" applyBorder="1"/>
    <xf numFmtId="0" fontId="19" fillId="0" borderId="0" xfId="0" applyFont="1" applyFill="1" applyBorder="1"/>
    <xf numFmtId="170" fontId="15" fillId="0" borderId="0" xfId="0" applyNumberFormat="1" applyFont="1" applyBorder="1"/>
    <xf numFmtId="172" fontId="15" fillId="0" borderId="0" xfId="0" applyNumberFormat="1" applyFont="1" applyBorder="1" applyAlignment="1">
      <alignment horizontal="left"/>
    </xf>
    <xf numFmtId="0" fontId="15" fillId="0" borderId="0" xfId="0" applyFont="1" applyFill="1" applyBorder="1" applyProtection="1">
      <protection locked="0"/>
    </xf>
    <xf numFmtId="3" fontId="16" fillId="0" borderId="0" xfId="0" applyNumberFormat="1" applyFont="1" applyFill="1" applyBorder="1"/>
    <xf numFmtId="170" fontId="15" fillId="0" borderId="0" xfId="0" applyNumberFormat="1" applyFont="1" applyFill="1" applyBorder="1"/>
    <xf numFmtId="0" fontId="15" fillId="0" borderId="0" xfId="0" applyFont="1" applyBorder="1"/>
    <xf numFmtId="173" fontId="17" fillId="0" borderId="0" xfId="0" applyNumberFormat="1" applyFont="1" applyFill="1" applyBorder="1"/>
    <xf numFmtId="3" fontId="15" fillId="0" borderId="0" xfId="0" applyNumberFormat="1" applyFont="1" applyFill="1" applyBorder="1"/>
    <xf numFmtId="3" fontId="19" fillId="0" borderId="0" xfId="0" applyNumberFormat="1" applyFont="1" applyFill="1" applyBorder="1"/>
    <xf numFmtId="170" fontId="15" fillId="0" borderId="6" xfId="0" applyNumberFormat="1" applyFont="1" applyFill="1" applyBorder="1"/>
    <xf numFmtId="0" fontId="14" fillId="0" borderId="0" xfId="0" applyFont="1" applyFill="1" applyBorder="1" applyProtection="1">
      <protection locked="0"/>
    </xf>
    <xf numFmtId="173" fontId="15" fillId="0" borderId="0" xfId="0" applyNumberFormat="1" applyFont="1" applyFill="1" applyBorder="1"/>
    <xf numFmtId="9" fontId="15" fillId="0" borderId="0" xfId="0" applyNumberFormat="1" applyFont="1" applyFill="1" applyBorder="1"/>
    <xf numFmtId="170" fontId="15" fillId="0" borderId="0" xfId="0" applyNumberFormat="1" applyFont="1" applyBorder="1" applyAlignment="1">
      <alignment horizontal="right"/>
    </xf>
    <xf numFmtId="169" fontId="17" fillId="0" borderId="0" xfId="0" applyNumberFormat="1" applyFont="1" applyFill="1" applyBorder="1"/>
    <xf numFmtId="169" fontId="15" fillId="0" borderId="0" xfId="0" applyNumberFormat="1" applyFont="1" applyFill="1" applyBorder="1"/>
    <xf numFmtId="170" fontId="15" fillId="0" borderId="6" xfId="0" applyNumberFormat="1" applyFont="1" applyBorder="1"/>
    <xf numFmtId="3" fontId="17" fillId="0" borderId="6" xfId="0" applyNumberFormat="1" applyFont="1" applyFill="1" applyBorder="1"/>
    <xf numFmtId="170" fontId="15" fillId="0" borderId="6" xfId="0" applyNumberFormat="1" applyFont="1" applyBorder="1" applyAlignment="1">
      <alignment horizontal="right"/>
    </xf>
    <xf numFmtId="0" fontId="15" fillId="0" borderId="0" xfId="0" applyFont="1" applyFill="1"/>
    <xf numFmtId="172" fontId="15" fillId="0" borderId="0" xfId="0" applyNumberFormat="1" applyFont="1" applyFill="1" applyBorder="1" applyAlignment="1">
      <alignment horizontal="left"/>
    </xf>
    <xf numFmtId="3" fontId="15" fillId="0" borderId="6" xfId="0" applyNumberFormat="1" applyFont="1" applyFill="1" applyBorder="1"/>
    <xf numFmtId="168" fontId="15" fillId="0" borderId="0" xfId="0" applyNumberFormat="1" applyFont="1" applyFill="1" applyBorder="1"/>
    <xf numFmtId="169" fontId="15" fillId="0" borderId="0" xfId="0" applyNumberFormat="1" applyFont="1" applyBorder="1" applyAlignment="1">
      <alignment horizontal="right"/>
    </xf>
    <xf numFmtId="167" fontId="15" fillId="0" borderId="0" xfId="0" applyNumberFormat="1" applyFont="1" applyBorder="1" applyAlignment="1">
      <alignment horizontal="left"/>
    </xf>
    <xf numFmtId="170" fontId="17" fillId="0" borderId="0" xfId="0" applyNumberFormat="1" applyFont="1" applyBorder="1"/>
    <xf numFmtId="42" fontId="18" fillId="0" borderId="0" xfId="0" applyNumberFormat="1" applyFont="1" applyBorder="1" applyAlignment="1"/>
    <xf numFmtId="170" fontId="17" fillId="0" borderId="0" xfId="0" applyNumberFormat="1" applyFont="1" applyBorder="1" applyAlignment="1">
      <alignment horizontal="right"/>
    </xf>
    <xf numFmtId="167" fontId="17" fillId="0" borderId="0" xfId="0" applyNumberFormat="1" applyFont="1" applyBorder="1"/>
    <xf numFmtId="173" fontId="16" fillId="0" borderId="0" xfId="0" applyNumberFormat="1" applyFont="1" applyFill="1" applyBorder="1"/>
    <xf numFmtId="170" fontId="15" fillId="0" borderId="0" xfId="0" applyNumberFormat="1" applyFont="1" applyFill="1" applyBorder="1" applyAlignment="1">
      <alignment horizontal="right"/>
    </xf>
    <xf numFmtId="164" fontId="15" fillId="0" borderId="0" xfId="0" applyNumberFormat="1" applyFont="1"/>
    <xf numFmtId="170" fontId="15" fillId="0" borderId="6" xfId="0" applyNumberFormat="1" applyFont="1" applyFill="1" applyBorder="1" applyAlignment="1">
      <alignment horizontal="right"/>
    </xf>
    <xf numFmtId="0" fontId="0" fillId="0" borderId="0" xfId="0" applyFont="1" applyBorder="1"/>
    <xf numFmtId="0" fontId="0" fillId="0" borderId="0" xfId="0" applyFont="1" applyFill="1" applyBorder="1"/>
    <xf numFmtId="164" fontId="16" fillId="0" borderId="0" xfId="0" applyNumberFormat="1" applyFont="1" applyFill="1" applyBorder="1"/>
    <xf numFmtId="169" fontId="17" fillId="0" borderId="0" xfId="0" applyNumberFormat="1" applyFont="1" applyBorder="1" applyAlignment="1">
      <alignment horizontal="right"/>
    </xf>
    <xf numFmtId="169" fontId="15" fillId="0" borderId="0" xfId="0" applyNumberFormat="1" applyFont="1" applyFill="1" applyBorder="1" applyAlignment="1">
      <alignment horizontal="right"/>
    </xf>
    <xf numFmtId="170" fontId="0" fillId="0" borderId="6" xfId="0" applyNumberFormat="1" applyFont="1" applyBorder="1"/>
    <xf numFmtId="0" fontId="14" fillId="0" borderId="0" xfId="0" applyFont="1" applyFill="1"/>
    <xf numFmtId="164" fontId="18" fillId="0" borderId="0" xfId="0" applyNumberFormat="1" applyFont="1" applyFill="1" applyBorder="1"/>
    <xf numFmtId="170" fontId="18" fillId="0" borderId="0" xfId="0" applyNumberFormat="1" applyFont="1" applyBorder="1"/>
    <xf numFmtId="170" fontId="0" fillId="0" borderId="0" xfId="0" applyNumberFormat="1" applyFont="1"/>
    <xf numFmtId="3" fontId="0" fillId="0" borderId="0" xfId="0" applyNumberFormat="1" applyFont="1" applyBorder="1"/>
    <xf numFmtId="0" fontId="15" fillId="0" borderId="0" xfId="0" applyFont="1" applyAlignment="1">
      <alignment horizontal="left"/>
    </xf>
    <xf numFmtId="170" fontId="0" fillId="0" borderId="0" xfId="0" applyNumberFormat="1" applyFont="1" applyBorder="1"/>
    <xf numFmtId="0" fontId="15" fillId="0" borderId="0" xfId="0" applyFont="1" applyFill="1" applyBorder="1" applyAlignment="1">
      <alignment horizontal="left"/>
    </xf>
    <xf numFmtId="0" fontId="15" fillId="0" borderId="0" xfId="0" applyFont="1" applyFill="1" applyAlignment="1">
      <alignment horizontal="left"/>
    </xf>
    <xf numFmtId="0" fontId="0" fillId="0" borderId="6" xfId="0" applyFont="1" applyBorder="1"/>
    <xf numFmtId="3" fontId="0" fillId="0" borderId="6" xfId="0" applyNumberFormat="1" applyFont="1" applyBorder="1"/>
    <xf numFmtId="0" fontId="15" fillId="0" borderId="6" xfId="0" applyFont="1" applyBorder="1"/>
    <xf numFmtId="0" fontId="8" fillId="0" borderId="0" xfId="0" applyFont="1"/>
    <xf numFmtId="0" fontId="0" fillId="0" borderId="0" xfId="0" applyFont="1" applyBorder="1" applyAlignment="1">
      <alignment horizontal="left"/>
    </xf>
    <xf numFmtId="0" fontId="0" fillId="0" borderId="0" xfId="0" applyFont="1" applyBorder="1" applyAlignment="1">
      <alignment horizontal="right"/>
    </xf>
    <xf numFmtId="3" fontId="0" fillId="0" borderId="0" xfId="0" applyNumberFormat="1" applyFont="1" applyFill="1" applyBorder="1"/>
    <xf numFmtId="0" fontId="0" fillId="0" borderId="0" xfId="0" applyFont="1" applyFill="1" applyBorder="1" applyAlignment="1">
      <alignment horizontal="left"/>
    </xf>
    <xf numFmtId="0" fontId="0" fillId="0" borderId="10" xfId="0" applyBorder="1"/>
    <xf numFmtId="0" fontId="0" fillId="0" borderId="11" xfId="0" applyFont="1" applyBorder="1"/>
    <xf numFmtId="3" fontId="0" fillId="0" borderId="11" xfId="0" applyNumberFormat="1" applyFont="1" applyBorder="1"/>
    <xf numFmtId="37" fontId="0" fillId="0" borderId="11" xfId="0" applyNumberFormat="1" applyFont="1" applyBorder="1"/>
    <xf numFmtId="37" fontId="0" fillId="0" borderId="12" xfId="0" applyNumberFormat="1" applyFont="1" applyBorder="1"/>
    <xf numFmtId="37" fontId="0" fillId="0" borderId="0" xfId="0" applyNumberFormat="1" applyFont="1" applyBorder="1"/>
    <xf numFmtId="166" fontId="9" fillId="0" borderId="0" xfId="0" applyNumberFormat="1" applyFont="1"/>
    <xf numFmtId="164" fontId="11" fillId="0" borderId="0" xfId="0" applyNumberFormat="1" applyFont="1"/>
    <xf numFmtId="44" fontId="11" fillId="0" borderId="0" xfId="0" applyNumberFormat="1" applyFont="1"/>
    <xf numFmtId="165" fontId="11" fillId="0" borderId="0" xfId="0" applyNumberFormat="1" applyFont="1"/>
    <xf numFmtId="0" fontId="11" fillId="0" borderId="0" xfId="0" applyFont="1"/>
    <xf numFmtId="168" fontId="11" fillId="0" borderId="0" xfId="0" applyNumberFormat="1" applyFont="1"/>
    <xf numFmtId="0" fontId="1" fillId="0" borderId="0" xfId="0" applyFont="1" applyFill="1"/>
    <xf numFmtId="41" fontId="2" fillId="0" borderId="0" xfId="0" applyNumberFormat="1" applyFont="1" applyFill="1" applyBorder="1" applyAlignment="1">
      <alignment horizontal="center" vertical="center" wrapText="1"/>
    </xf>
    <xf numFmtId="0" fontId="9" fillId="3" borderId="0" xfId="0" quotePrefix="1" applyFont="1" applyFill="1" applyAlignment="1">
      <alignment horizontal="center"/>
    </xf>
    <xf numFmtId="0" fontId="1" fillId="0" borderId="0" xfId="0" applyFont="1"/>
    <xf numFmtId="178" fontId="9" fillId="3" borderId="0" xfId="0" applyNumberFormat="1" applyFont="1" applyFill="1" applyAlignment="1">
      <alignment horizontal="center"/>
    </xf>
    <xf numFmtId="165" fontId="9" fillId="3" borderId="0" xfId="0" applyNumberFormat="1" applyFont="1" applyFill="1" applyBorder="1"/>
    <xf numFmtId="166" fontId="12" fillId="0" borderId="5" xfId="0" applyNumberFormat="1" applyFont="1" applyFill="1" applyBorder="1" applyAlignment="1">
      <alignment horizontal="center" vertical="center"/>
    </xf>
    <xf numFmtId="9" fontId="6" fillId="0" borderId="0" xfId="0" applyNumberFormat="1" applyFont="1"/>
    <xf numFmtId="42" fontId="9" fillId="0" borderId="0" xfId="0" applyNumberFormat="1" applyFont="1" applyFill="1" applyBorder="1"/>
    <xf numFmtId="42" fontId="9" fillId="0" borderId="0" xfId="0" applyNumberFormat="1" applyFont="1" applyBorder="1"/>
    <xf numFmtId="0" fontId="22" fillId="0" borderId="0" xfId="0" applyFont="1" applyFill="1" applyAlignment="1">
      <alignment horizontal="center"/>
    </xf>
    <xf numFmtId="17" fontId="22" fillId="0" borderId="0" xfId="0" applyNumberFormat="1" applyFont="1" applyFill="1" applyAlignment="1">
      <alignment horizontal="center" wrapText="1"/>
    </xf>
    <xf numFmtId="0" fontId="23" fillId="0" borderId="0" xfId="0" applyFont="1" applyFill="1" applyAlignment="1">
      <alignment horizontal="center"/>
    </xf>
    <xf numFmtId="0" fontId="23" fillId="0" borderId="0" xfId="0" applyFont="1" applyFill="1"/>
    <xf numFmtId="164" fontId="23" fillId="0" borderId="0" xfId="0" applyNumberFormat="1" applyFont="1" applyFill="1"/>
    <xf numFmtId="0" fontId="4" fillId="0" borderId="0" xfId="0" applyFont="1"/>
    <xf numFmtId="43" fontId="4" fillId="0" borderId="0" xfId="0" applyNumberFormat="1" applyFont="1" applyFill="1"/>
    <xf numFmtId="43" fontId="1" fillId="0" borderId="1" xfId="0" applyNumberFormat="1" applyFont="1" applyFill="1" applyBorder="1"/>
    <xf numFmtId="0" fontId="24" fillId="0" borderId="0" xfId="0" applyFont="1"/>
    <xf numFmtId="0" fontId="24" fillId="0" borderId="0" xfId="0" applyFont="1" applyFill="1"/>
    <xf numFmtId="0" fontId="4" fillId="0" borderId="0" xfId="0" applyFont="1" applyFill="1"/>
    <xf numFmtId="44" fontId="1" fillId="0" borderId="0" xfId="0" applyNumberFormat="1" applyFont="1" applyFill="1"/>
    <xf numFmtId="44" fontId="1" fillId="0" borderId="0" xfId="0" applyNumberFormat="1" applyFont="1" applyFill="1" applyBorder="1"/>
    <xf numFmtId="43" fontId="1" fillId="0" borderId="5" xfId="0" applyNumberFormat="1" applyFont="1" applyFill="1" applyBorder="1"/>
    <xf numFmtId="44" fontId="1" fillId="0" borderId="7" xfId="0" applyNumberFormat="1" applyFont="1" applyFill="1" applyBorder="1"/>
    <xf numFmtId="43" fontId="1" fillId="0" borderId="0" xfId="0" applyNumberFormat="1" applyFont="1" applyFill="1"/>
    <xf numFmtId="44" fontId="1" fillId="0" borderId="4" xfId="0" applyNumberFormat="1" applyFont="1" applyFill="1" applyBorder="1"/>
    <xf numFmtId="165" fontId="1" fillId="0" borderId="0" xfId="0" applyNumberFormat="1" applyFont="1"/>
    <xf numFmtId="180" fontId="1" fillId="0" borderId="0" xfId="0" applyNumberFormat="1" applyFont="1"/>
    <xf numFmtId="0" fontId="1" fillId="0" borderId="0" xfId="0" applyFont="1" applyFill="1"/>
    <xf numFmtId="0" fontId="2" fillId="0" borderId="0" xfId="0" applyFont="1" applyFill="1" applyAlignment="1">
      <alignment horizontal="centerContinuous"/>
    </xf>
    <xf numFmtId="0" fontId="3" fillId="0" borderId="0" xfId="0" applyFont="1" applyFill="1" applyAlignment="1">
      <alignment horizontal="centerContinuous"/>
    </xf>
    <xf numFmtId="0" fontId="2" fillId="0" borderId="0" xfId="0" applyFont="1" applyFill="1"/>
    <xf numFmtId="0" fontId="1" fillId="0" borderId="0" xfId="0" applyFont="1" applyFill="1" applyAlignment="1">
      <alignment horizontal="center"/>
    </xf>
    <xf numFmtId="164" fontId="4" fillId="0" borderId="0" xfId="0" applyNumberFormat="1" applyFont="1" applyFill="1" applyBorder="1"/>
    <xf numFmtId="164" fontId="1" fillId="0" borderId="0" xfId="0" applyNumberFormat="1" applyFont="1" applyFill="1"/>
    <xf numFmtId="164" fontId="1" fillId="0" borderId="0" xfId="0" applyNumberFormat="1" applyFont="1" applyFill="1" applyBorder="1"/>
    <xf numFmtId="43" fontId="1" fillId="0" borderId="0" xfId="0" applyNumberFormat="1" applyFont="1" applyFill="1" applyBorder="1"/>
    <xf numFmtId="164" fontId="1" fillId="0" borderId="6" xfId="0" applyNumberFormat="1" applyFont="1" applyFill="1" applyBorder="1"/>
    <xf numFmtId="37" fontId="1" fillId="0" borderId="0" xfId="0" applyNumberFormat="1" applyFont="1" applyFill="1" applyBorder="1"/>
    <xf numFmtId="164" fontId="1" fillId="0" borderId="5" xfId="0" applyNumberFormat="1" applyFont="1" applyFill="1" applyBorder="1" applyAlignment="1">
      <alignment horizontal="center"/>
    </xf>
    <xf numFmtId="17" fontId="1" fillId="0" borderId="0" xfId="0" applyNumberFormat="1" applyFont="1" applyFill="1" applyBorder="1"/>
    <xf numFmtId="164" fontId="5" fillId="0" borderId="0" xfId="0" applyNumberFormat="1" applyFont="1" applyFill="1" applyBorder="1"/>
    <xf numFmtId="37" fontId="4" fillId="0" borderId="0" xfId="0" applyNumberFormat="1" applyFont="1" applyFill="1" applyBorder="1"/>
    <xf numFmtId="0" fontId="1" fillId="0" borderId="0" xfId="0" applyFont="1" applyFill="1" applyBorder="1"/>
    <xf numFmtId="37" fontId="1" fillId="0" borderId="0" xfId="0" applyNumberFormat="1" applyFont="1" applyFill="1"/>
    <xf numFmtId="39" fontId="1" fillId="0" borderId="0" xfId="0" applyNumberFormat="1" applyFont="1" applyFill="1"/>
    <xf numFmtId="2" fontId="1" fillId="0" borderId="0" xfId="0" applyNumberFormat="1" applyFont="1" applyFill="1"/>
    <xf numFmtId="181" fontId="1" fillId="0" borderId="0" xfId="0" applyNumberFormat="1" applyFont="1" applyFill="1"/>
    <xf numFmtId="181" fontId="1" fillId="0" borderId="0" xfId="0" applyNumberFormat="1" applyFont="1" applyFill="1" applyAlignment="1">
      <alignment horizontal="center"/>
    </xf>
    <xf numFmtId="165" fontId="4" fillId="0" borderId="0" xfId="0" applyNumberFormat="1" applyFont="1" applyFill="1" applyBorder="1"/>
    <xf numFmtId="165" fontId="1" fillId="0" borderId="0" xfId="0" applyNumberFormat="1" applyFont="1" applyFill="1" applyBorder="1"/>
    <xf numFmtId="17" fontId="1" fillId="0" borderId="5" xfId="0" applyNumberFormat="1" applyFont="1" applyFill="1" applyBorder="1" applyAlignment="1">
      <alignment horizontal="center"/>
    </xf>
    <xf numFmtId="165" fontId="1" fillId="0" borderId="0" xfId="0" applyNumberFormat="1" applyFont="1" applyFill="1"/>
    <xf numFmtId="165" fontId="4" fillId="0" borderId="5" xfId="0" applyNumberFormat="1" applyFont="1" applyFill="1" applyBorder="1"/>
    <xf numFmtId="165" fontId="1" fillId="0" borderId="5" xfId="0" applyNumberFormat="1" applyFont="1" applyFill="1" applyBorder="1"/>
    <xf numFmtId="0" fontId="25" fillId="0" borderId="0" xfId="0" applyFont="1" applyFill="1"/>
    <xf numFmtId="0" fontId="2" fillId="0" borderId="0" xfId="0" applyFont="1" applyFill="1" applyAlignment="1"/>
    <xf numFmtId="0" fontId="9" fillId="0" borderId="5" xfId="0" applyFont="1" applyFill="1" applyBorder="1"/>
    <xf numFmtId="0" fontId="10" fillId="0" borderId="0" xfId="0" applyFont="1" applyFill="1" applyAlignment="1">
      <alignment horizontal="left"/>
    </xf>
    <xf numFmtId="0" fontId="9" fillId="0" borderId="0" xfId="0" quotePrefix="1" applyFont="1" applyFill="1" applyAlignment="1">
      <alignment horizontal="center"/>
    </xf>
    <xf numFmtId="168" fontId="9" fillId="0" borderId="7" xfId="0" applyNumberFormat="1" applyFont="1" applyFill="1" applyBorder="1"/>
    <xf numFmtId="164" fontId="9" fillId="0" borderId="0" xfId="0" applyNumberFormat="1" applyFont="1" applyFill="1" applyBorder="1"/>
    <xf numFmtId="165" fontId="9" fillId="0" borderId="0" xfId="0" applyNumberFormat="1" applyFont="1" applyFill="1" applyBorder="1"/>
    <xf numFmtId="167" fontId="9" fillId="0" borderId="0" xfId="0" applyNumberFormat="1" applyFont="1" applyFill="1"/>
    <xf numFmtId="10" fontId="9" fillId="0" borderId="0" xfId="0" applyNumberFormat="1" applyFont="1" applyFill="1"/>
    <xf numFmtId="10" fontId="9" fillId="0" borderId="0" xfId="0" applyNumberFormat="1" applyFont="1" applyFill="1" applyBorder="1"/>
    <xf numFmtId="168" fontId="9" fillId="0" borderId="0" xfId="0" applyNumberFormat="1" applyFont="1" applyFill="1" applyBorder="1"/>
    <xf numFmtId="0" fontId="26" fillId="0" borderId="0" xfId="0" applyFont="1"/>
    <xf numFmtId="0" fontId="4" fillId="0" borderId="0" xfId="0" applyFont="1"/>
    <xf numFmtId="182" fontId="1" fillId="0" borderId="0" xfId="0" applyNumberFormat="1" applyFont="1"/>
    <xf numFmtId="0" fontId="4" fillId="0" borderId="0" xfId="0" applyFont="1" applyBorder="1"/>
    <xf numFmtId="44" fontId="4" fillId="0" borderId="0" xfId="0" applyNumberFormat="1" applyFont="1"/>
    <xf numFmtId="44" fontId="4" fillId="0" borderId="0" xfId="0" applyNumberFormat="1" applyFont="1" applyBorder="1"/>
    <xf numFmtId="44" fontId="1" fillId="0" borderId="0" xfId="0" applyNumberFormat="1" applyFont="1"/>
    <xf numFmtId="44" fontId="4" fillId="0" borderId="5" xfId="0" applyNumberFormat="1" applyFont="1" applyBorder="1"/>
    <xf numFmtId="182" fontId="1" fillId="0" borderId="5" xfId="0" applyNumberFormat="1" applyFont="1" applyBorder="1"/>
    <xf numFmtId="44" fontId="1" fillId="0" borderId="5" xfId="0" applyNumberFormat="1" applyFont="1" applyBorder="1"/>
    <xf numFmtId="44" fontId="9" fillId="0" borderId="0" xfId="0" applyNumberFormat="1" applyFont="1"/>
    <xf numFmtId="0" fontId="26" fillId="0" borderId="0" xfId="0" applyFont="1" applyBorder="1"/>
    <xf numFmtId="176" fontId="4" fillId="0" borderId="0" xfId="0" applyNumberFormat="1" applyFont="1"/>
    <xf numFmtId="176" fontId="4" fillId="0" borderId="0" xfId="0" applyNumberFormat="1" applyFont="1" applyBorder="1"/>
    <xf numFmtId="176" fontId="1" fillId="0" borderId="0" xfId="0" applyNumberFormat="1" applyFont="1"/>
    <xf numFmtId="176" fontId="4" fillId="0" borderId="0" xfId="0" applyNumberFormat="1" applyFont="1" applyFill="1"/>
    <xf numFmtId="176" fontId="1" fillId="0" borderId="6" xfId="0" applyNumberFormat="1" applyFont="1" applyBorder="1"/>
    <xf numFmtId="176" fontId="5" fillId="0" borderId="0" xfId="0" applyNumberFormat="1" applyFont="1"/>
    <xf numFmtId="172" fontId="1" fillId="0" borderId="0" xfId="0" applyNumberFormat="1" applyFont="1"/>
    <xf numFmtId="172" fontId="1" fillId="0" borderId="0" xfId="0" applyNumberFormat="1" applyFont="1" applyBorder="1"/>
    <xf numFmtId="0" fontId="1" fillId="0" borderId="0" xfId="0" applyFont="1" applyFill="1" applyAlignment="1"/>
    <xf numFmtId="0" fontId="12" fillId="0" borderId="0" xfId="0" applyFont="1" applyAlignment="1">
      <alignment horizontal="centerContinuous"/>
    </xf>
    <xf numFmtId="0" fontId="9" fillId="0" borderId="0" xfId="0" applyFont="1" applyAlignment="1"/>
    <xf numFmtId="0" fontId="9" fillId="0" borderId="0" xfId="0" applyFont="1"/>
    <xf numFmtId="0" fontId="9" fillId="0" borderId="0" xfId="0" applyFont="1" applyAlignment="1">
      <alignment horizontal="centerContinuous"/>
    </xf>
    <xf numFmtId="0" fontId="9" fillId="0" borderId="0" xfId="0" applyFont="1" applyBorder="1" applyAlignment="1">
      <alignment horizontal="center"/>
    </xf>
    <xf numFmtId="0" fontId="9" fillId="0" borderId="0" xfId="0" applyFont="1" applyFill="1" applyBorder="1" applyAlignment="1">
      <alignment horizontal="center"/>
    </xf>
    <xf numFmtId="0" fontId="9" fillId="0" borderId="5" xfId="0" applyFont="1" applyFill="1" applyBorder="1" applyAlignment="1">
      <alignment horizontal="center"/>
    </xf>
    <xf numFmtId="0" fontId="9" fillId="0" borderId="0" xfId="0" applyFont="1" applyBorder="1"/>
    <xf numFmtId="167" fontId="6" fillId="0" borderId="0" xfId="0" applyNumberFormat="1" applyFont="1"/>
    <xf numFmtId="3" fontId="9" fillId="0" borderId="0" xfId="0" applyNumberFormat="1" applyFont="1"/>
    <xf numFmtId="10" fontId="9" fillId="0" borderId="0" xfId="0" applyNumberFormat="1" applyFont="1"/>
    <xf numFmtId="168" fontId="9" fillId="0" borderId="0" xfId="0" applyNumberFormat="1" applyFont="1"/>
    <xf numFmtId="165" fontId="9" fillId="0" borderId="0" xfId="0" applyNumberFormat="1" applyFont="1"/>
    <xf numFmtId="3" fontId="9" fillId="0" borderId="5" xfId="0" applyNumberFormat="1" applyFont="1" applyBorder="1"/>
    <xf numFmtId="165" fontId="9" fillId="0" borderId="5" xfId="0" applyNumberFormat="1" applyFont="1" applyBorder="1"/>
    <xf numFmtId="3" fontId="9" fillId="0" borderId="0" xfId="0" applyNumberFormat="1" applyFont="1" applyBorder="1"/>
    <xf numFmtId="165" fontId="6" fillId="0" borderId="0" xfId="0" applyNumberFormat="1" applyFont="1"/>
    <xf numFmtId="10" fontId="6" fillId="0" borderId="0" xfId="0" applyNumberFormat="1" applyFont="1"/>
    <xf numFmtId="0" fontId="9" fillId="0" borderId="0" xfId="0" quotePrefix="1" applyFont="1" applyFill="1" applyAlignment="1">
      <alignment vertical="top"/>
    </xf>
    <xf numFmtId="176" fontId="20" fillId="0" borderId="0" xfId="0" applyNumberFormat="1" applyFont="1"/>
    <xf numFmtId="0" fontId="12" fillId="0" borderId="0" xfId="0" applyFont="1" applyFill="1" applyBorder="1" applyAlignment="1">
      <alignment horizontal="center" vertical="center" wrapText="1"/>
    </xf>
    <xf numFmtId="0" fontId="12" fillId="0" borderId="5" xfId="0" applyFont="1" applyFill="1" applyBorder="1" applyAlignment="1">
      <alignment vertical="center"/>
    </xf>
    <xf numFmtId="164" fontId="11" fillId="0" borderId="0" xfId="0" applyNumberFormat="1" applyFont="1" applyFill="1"/>
    <xf numFmtId="0" fontId="9" fillId="4" borderId="0" xfId="0" applyFont="1" applyFill="1"/>
    <xf numFmtId="44" fontId="9" fillId="4" borderId="0" xfId="0" applyNumberFormat="1" applyFont="1" applyFill="1"/>
    <xf numFmtId="44" fontId="11" fillId="0" borderId="0" xfId="0" applyNumberFormat="1" applyFont="1" applyFill="1"/>
    <xf numFmtId="168" fontId="9" fillId="4" borderId="0" xfId="0" applyNumberFormat="1" applyFont="1" applyFill="1"/>
    <xf numFmtId="165" fontId="9" fillId="0" borderId="0" xfId="0" applyNumberFormat="1" applyFont="1" applyFill="1"/>
    <xf numFmtId="168" fontId="9" fillId="0" borderId="0" xfId="0" applyNumberFormat="1" applyFont="1" applyFill="1"/>
    <xf numFmtId="0" fontId="9" fillId="5" borderId="0" xfId="0" applyFont="1" applyFill="1"/>
    <xf numFmtId="183" fontId="9" fillId="5" borderId="0" xfId="0" applyNumberFormat="1" applyFont="1" applyFill="1"/>
    <xf numFmtId="41" fontId="2" fillId="0" borderId="5" xfId="0" applyNumberFormat="1" applyFont="1" applyFill="1" applyBorder="1" applyAlignment="1">
      <alignment horizontal="center" vertical="center" wrapText="1"/>
    </xf>
    <xf numFmtId="165" fontId="9" fillId="0" borderId="0" xfId="0" quotePrefix="1" applyNumberFormat="1" applyFont="1" applyFill="1" applyAlignment="1">
      <alignment horizontal="center"/>
    </xf>
    <xf numFmtId="165" fontId="21" fillId="0" borderId="0" xfId="0" applyNumberFormat="1" applyFont="1" applyFill="1"/>
    <xf numFmtId="172" fontId="9" fillId="0" borderId="0" xfId="0" applyNumberFormat="1" applyFont="1" applyFill="1" applyBorder="1"/>
    <xf numFmtId="165" fontId="21" fillId="0" borderId="0" xfId="0" quotePrefix="1" applyNumberFormat="1" applyFont="1" applyFill="1" applyAlignment="1">
      <alignment horizontal="center"/>
    </xf>
    <xf numFmtId="0" fontId="27" fillId="0" borderId="0" xfId="0" applyFont="1" applyFill="1" applyBorder="1"/>
    <xf numFmtId="0" fontId="27" fillId="0" borderId="0" xfId="0" applyFont="1" applyFill="1"/>
    <xf numFmtId="0" fontId="1" fillId="0" borderId="5" xfId="0" applyFont="1" applyBorder="1" applyAlignment="1">
      <alignment horizontal="centerContinuous"/>
    </xf>
    <xf numFmtId="176" fontId="9" fillId="0" borderId="0" xfId="0" applyNumberFormat="1" applyFont="1"/>
    <xf numFmtId="0" fontId="1" fillId="0" borderId="0" xfId="0" applyFont="1"/>
    <xf numFmtId="0" fontId="1" fillId="0" borderId="0" xfId="0" applyFont="1" applyAlignment="1">
      <alignment horizontal="center"/>
    </xf>
    <xf numFmtId="9" fontId="1" fillId="0" borderId="0" xfId="0" applyNumberFormat="1" applyFont="1" applyFill="1"/>
    <xf numFmtId="0" fontId="1" fillId="0" borderId="0" xfId="0" quotePrefix="1" applyFont="1" applyAlignment="1">
      <alignment horizontal="left"/>
    </xf>
    <xf numFmtId="10" fontId="1" fillId="0" borderId="0" xfId="0" applyNumberFormat="1" applyFont="1"/>
    <xf numFmtId="177" fontId="1" fillId="0" borderId="0" xfId="0" applyNumberFormat="1" applyFont="1" applyFill="1"/>
    <xf numFmtId="177" fontId="1" fillId="0" borderId="0" xfId="0" applyNumberFormat="1" applyFont="1"/>
    <xf numFmtId="0" fontId="9" fillId="0" borderId="0" xfId="0" quotePrefix="1" applyFont="1" applyAlignment="1">
      <alignment horizontal="left"/>
    </xf>
    <xf numFmtId="0" fontId="1" fillId="0" borderId="0" xfId="0" applyFont="1" applyFill="1" applyAlignment="1">
      <alignment horizontal="left"/>
    </xf>
    <xf numFmtId="43" fontId="21" fillId="0" borderId="0" xfId="0" applyNumberFormat="1" applyFont="1" applyFill="1"/>
    <xf numFmtId="176" fontId="21" fillId="0" borderId="0" xfId="0" applyNumberFormat="1" applyFont="1"/>
    <xf numFmtId="0" fontId="21" fillId="0" borderId="0" xfId="0" applyFont="1" applyFill="1" applyBorder="1"/>
    <xf numFmtId="17" fontId="2" fillId="0" borderId="5" xfId="0" applyNumberFormat="1" applyFont="1" applyFill="1" applyBorder="1" applyAlignment="1">
      <alignment horizontal="center" vertical="center" wrapText="1"/>
    </xf>
    <xf numFmtId="168" fontId="21" fillId="0" borderId="0" xfId="0" quotePrefix="1" applyNumberFormat="1" applyFont="1" applyFill="1" applyAlignment="1">
      <alignment horizontal="center"/>
    </xf>
    <xf numFmtId="184" fontId="21" fillId="0" borderId="0" xfId="0" applyNumberFormat="1" applyFont="1" applyFill="1" applyBorder="1"/>
    <xf numFmtId="44" fontId="21" fillId="0" borderId="0" xfId="0" applyNumberFormat="1" applyFont="1" applyFill="1"/>
    <xf numFmtId="0" fontId="9" fillId="0" borderId="0" xfId="0" applyFont="1" applyFill="1" applyBorder="1"/>
    <xf numFmtId="0" fontId="9" fillId="0" borderId="0" xfId="0" applyFont="1" applyFill="1"/>
    <xf numFmtId="0" fontId="9" fillId="0" borderId="0" xfId="0" applyFont="1"/>
    <xf numFmtId="43" fontId="9" fillId="0" borderId="0" xfId="0" applyNumberFormat="1" applyFont="1" applyFill="1"/>
    <xf numFmtId="0" fontId="2" fillId="0" borderId="3" xfId="0" applyFont="1" applyBorder="1" applyAlignment="1">
      <alignment horizontal="center" wrapText="1"/>
    </xf>
    <xf numFmtId="0" fontId="2" fillId="0" borderId="3" xfId="0" applyFont="1" applyBorder="1" applyAlignment="1">
      <alignment horizontal="center"/>
    </xf>
    <xf numFmtId="0" fontId="2" fillId="0" borderId="3" xfId="0" applyFont="1" applyBorder="1"/>
    <xf numFmtId="0" fontId="28" fillId="0" borderId="0" xfId="0" applyFont="1" applyFill="1"/>
    <xf numFmtId="0" fontId="1" fillId="0" borderId="0" xfId="0" applyFont="1" applyFill="1"/>
    <xf numFmtId="170" fontId="1" fillId="0" borderId="0" xfId="0" applyNumberFormat="1" applyFont="1" applyAlignment="1">
      <alignment horizontal="centerContinuous"/>
    </xf>
    <xf numFmtId="0" fontId="1" fillId="0" borderId="0" xfId="0" applyFont="1" applyAlignment="1"/>
    <xf numFmtId="171" fontId="1" fillId="0" borderId="0" xfId="0" applyNumberFormat="1" applyFont="1" applyAlignment="1"/>
    <xf numFmtId="0" fontId="1" fillId="0" borderId="0" xfId="0" applyFont="1"/>
    <xf numFmtId="0" fontId="1" fillId="0" borderId="0" xfId="0" applyFont="1" applyBorder="1" applyAlignment="1"/>
    <xf numFmtId="170" fontId="2" fillId="0" borderId="0" xfId="0" applyNumberFormat="1" applyFont="1" applyAlignment="1">
      <alignment horizontal="centerContinuous"/>
    </xf>
    <xf numFmtId="0" fontId="2" fillId="0" borderId="0" xfId="0" applyFont="1" applyAlignment="1"/>
    <xf numFmtId="171" fontId="2" fillId="0" borderId="0" xfId="0" applyNumberFormat="1" applyFont="1" applyAlignment="1"/>
    <xf numFmtId="0" fontId="2" fillId="0" borderId="0" xfId="0" applyFont="1"/>
    <xf numFmtId="0" fontId="2" fillId="0" borderId="0" xfId="0" applyFont="1" applyBorder="1" applyAlignment="1">
      <alignment horizontal="centerContinuous"/>
    </xf>
    <xf numFmtId="0" fontId="2" fillId="0" borderId="0" xfId="0" applyFont="1" applyAlignment="1">
      <alignment horizontal="centerContinuous"/>
    </xf>
    <xf numFmtId="0" fontId="9" fillId="0" borderId="0" xfId="0" applyFont="1" applyAlignment="1">
      <alignment horizontal="left"/>
    </xf>
    <xf numFmtId="165" fontId="9" fillId="0" borderId="0" xfId="0" applyNumberFormat="1" applyFont="1" applyFill="1" applyBorder="1" applyAlignment="1">
      <alignment horizontal="center"/>
    </xf>
    <xf numFmtId="0" fontId="9" fillId="0" borderId="0" xfId="0" applyFont="1" applyFill="1" applyBorder="1" applyAlignment="1"/>
    <xf numFmtId="172" fontId="9" fillId="0" borderId="0" xfId="0" applyNumberFormat="1" applyFont="1"/>
    <xf numFmtId="0" fontId="9" fillId="0" borderId="0" xfId="0" applyFont="1" applyFill="1" applyBorder="1" applyAlignment="1">
      <alignment horizontal="left"/>
    </xf>
    <xf numFmtId="0" fontId="9" fillId="0" borderId="0" xfId="0" applyFont="1" applyBorder="1" applyAlignment="1"/>
    <xf numFmtId="168" fontId="9" fillId="0" borderId="5" xfId="0" applyNumberFormat="1" applyFont="1" applyBorder="1"/>
    <xf numFmtId="0" fontId="9" fillId="0" borderId="6" xfId="0" applyFont="1" applyBorder="1" applyAlignment="1">
      <alignment horizontal="left"/>
    </xf>
    <xf numFmtId="3" fontId="9" fillId="0" borderId="6" xfId="0" applyNumberFormat="1" applyFont="1" applyBorder="1"/>
    <xf numFmtId="41" fontId="9" fillId="0" borderId="0" xfId="0" applyNumberFormat="1" applyFont="1" applyBorder="1"/>
    <xf numFmtId="178" fontId="9" fillId="0" borderId="0" xfId="0" applyNumberFormat="1" applyFont="1" applyFill="1" applyBorder="1"/>
    <xf numFmtId="164" fontId="9" fillId="0" borderId="0" xfId="0" applyNumberFormat="1" applyFont="1" applyBorder="1"/>
    <xf numFmtId="179" fontId="9" fillId="0" borderId="0" xfId="0" applyNumberFormat="1" applyFont="1" applyBorder="1"/>
    <xf numFmtId="164" fontId="9" fillId="0" borderId="0" xfId="0" applyNumberFormat="1" applyFont="1"/>
    <xf numFmtId="3" fontId="21" fillId="0" borderId="0" xfId="0" applyNumberFormat="1" applyFont="1"/>
    <xf numFmtId="42" fontId="21" fillId="0" borderId="0" xfId="0" applyNumberFormat="1" applyFont="1" applyFill="1"/>
    <xf numFmtId="3" fontId="21" fillId="0" borderId="0" xfId="0" applyNumberFormat="1" applyFont="1" applyFill="1"/>
    <xf numFmtId="0" fontId="21" fillId="0" borderId="0" xfId="0" applyFont="1" applyFill="1"/>
    <xf numFmtId="3" fontId="21" fillId="0" borderId="0" xfId="0" applyNumberFormat="1" applyFont="1" applyBorder="1"/>
    <xf numFmtId="42" fontId="21" fillId="0" borderId="0" xfId="0" applyNumberFormat="1" applyFont="1" applyFill="1" applyBorder="1"/>
    <xf numFmtId="41" fontId="21" fillId="0" borderId="0" xfId="0" applyNumberFormat="1" applyFont="1" applyBorder="1"/>
    <xf numFmtId="185" fontId="9" fillId="0" borderId="0" xfId="0" applyNumberFormat="1" applyFont="1"/>
    <xf numFmtId="0" fontId="21" fillId="0" borderId="0" xfId="0" applyFont="1"/>
    <xf numFmtId="3" fontId="21" fillId="0" borderId="5" xfId="0" applyNumberFormat="1" applyFont="1" applyBorder="1"/>
    <xf numFmtId="165" fontId="21" fillId="0" borderId="0" xfId="0" applyNumberFormat="1" applyFont="1"/>
    <xf numFmtId="165" fontId="21" fillId="0" borderId="5" xfId="0" applyNumberFormat="1" applyFont="1" applyFill="1" applyBorder="1"/>
    <xf numFmtId="3" fontId="21" fillId="0" borderId="5" xfId="0" applyNumberFormat="1" applyFont="1" applyFill="1" applyBorder="1"/>
    <xf numFmtId="164" fontId="21" fillId="0" borderId="5" xfId="0" applyNumberFormat="1" applyFont="1" applyFill="1" applyBorder="1"/>
    <xf numFmtId="165" fontId="21" fillId="0" borderId="0" xfId="0" applyNumberFormat="1" applyFont="1" applyFill="1" applyBorder="1"/>
    <xf numFmtId="168" fontId="21" fillId="0" borderId="0" xfId="0" applyNumberFormat="1" applyFont="1" applyFill="1"/>
    <xf numFmtId="167" fontId="21" fillId="0" borderId="0" xfId="0" applyNumberFormat="1" applyFont="1" applyBorder="1"/>
    <xf numFmtId="170" fontId="2" fillId="0" borderId="0" xfId="0" applyNumberFormat="1" applyFont="1" applyFill="1" applyAlignment="1">
      <alignment horizontal="centerContinuous"/>
    </xf>
    <xf numFmtId="0" fontId="2" fillId="0" borderId="0" xfId="0" applyFont="1" applyFill="1" applyBorder="1" applyAlignment="1">
      <alignment horizontal="centerContinuous"/>
    </xf>
    <xf numFmtId="0" fontId="1" fillId="0" borderId="5" xfId="0" applyFont="1" applyFill="1" applyBorder="1"/>
    <xf numFmtId="175" fontId="21" fillId="0" borderId="0" xfId="0" applyNumberFormat="1" applyFont="1" applyFill="1" applyAlignment="1"/>
    <xf numFmtId="7" fontId="21" fillId="0" borderId="0" xfId="0" applyNumberFormat="1" applyFont="1" applyFill="1" applyAlignment="1"/>
    <xf numFmtId="0" fontId="1" fillId="0" borderId="0" xfId="0" applyNumberFormat="1" applyFont="1" applyAlignment="1"/>
    <xf numFmtId="0" fontId="32" fillId="0" borderId="0" xfId="0" applyNumberFormat="1" applyFont="1" applyFill="1" applyAlignment="1"/>
    <xf numFmtId="0" fontId="23" fillId="0" borderId="0" xfId="0" applyNumberFormat="1" applyFont="1" applyFill="1" applyAlignment="1"/>
    <xf numFmtId="186" fontId="32" fillId="0" borderId="0" xfId="0" applyNumberFormat="1" applyFont="1" applyFill="1" applyAlignment="1">
      <alignment horizontal="right"/>
    </xf>
    <xf numFmtId="0" fontId="32" fillId="0" borderId="13" xfId="0" applyNumberFormat="1" applyFont="1" applyFill="1" applyBorder="1" applyAlignment="1">
      <alignment horizontal="right"/>
    </xf>
    <xf numFmtId="0" fontId="32" fillId="0" borderId="0" xfId="0" applyNumberFormat="1" applyFont="1" applyFill="1" applyAlignment="1">
      <alignment horizontal="centerContinuous"/>
    </xf>
    <xf numFmtId="0" fontId="32" fillId="0" borderId="0" xfId="0" applyNumberFormat="1" applyFont="1" applyFill="1" applyAlignment="1" applyProtection="1">
      <alignment horizontal="centerContinuous"/>
      <protection locked="0"/>
    </xf>
    <xf numFmtId="0" fontId="32" fillId="0" borderId="5" xfId="0" applyNumberFormat="1" applyFont="1" applyFill="1" applyBorder="1" applyAlignment="1">
      <alignment horizontal="center"/>
    </xf>
    <xf numFmtId="0" fontId="32" fillId="0" borderId="5" xfId="0" applyNumberFormat="1" applyFont="1" applyFill="1" applyBorder="1" applyAlignment="1" applyProtection="1">
      <protection locked="0"/>
    </xf>
    <xf numFmtId="0" fontId="32" fillId="0" borderId="5" xfId="0" applyNumberFormat="1" applyFont="1" applyFill="1" applyBorder="1" applyAlignment="1"/>
    <xf numFmtId="0" fontId="32" fillId="0" borderId="5" xfId="0" applyNumberFormat="1" applyFont="1" applyFill="1" applyBorder="1" applyAlignment="1">
      <alignment horizontal="right"/>
    </xf>
    <xf numFmtId="0" fontId="23" fillId="0" borderId="0" xfId="0" applyNumberFormat="1" applyFont="1" applyFill="1" applyAlignment="1">
      <alignment horizontal="center"/>
    </xf>
    <xf numFmtId="0" fontId="23" fillId="0" borderId="0" xfId="0" applyNumberFormat="1" applyFont="1" applyFill="1" applyAlignment="1">
      <alignment horizontal="left"/>
    </xf>
    <xf numFmtId="186" fontId="23" fillId="0" borderId="0" xfId="0" applyNumberFormat="1" applyFont="1" applyFill="1" applyAlignment="1"/>
    <xf numFmtId="167" fontId="23" fillId="0" borderId="0" xfId="0" applyNumberFormat="1" applyFont="1" applyFill="1" applyAlignment="1"/>
    <xf numFmtId="186" fontId="23" fillId="0" borderId="5" xfId="0" applyNumberFormat="1" applyFont="1" applyFill="1" applyBorder="1" applyAlignment="1"/>
    <xf numFmtId="186" fontId="23" fillId="0" borderId="0" xfId="0" applyNumberFormat="1" applyFont="1" applyFill="1" applyBorder="1" applyAlignment="1"/>
    <xf numFmtId="9" fontId="23" fillId="0" borderId="0" xfId="0" applyNumberFormat="1" applyFont="1" applyFill="1" applyAlignment="1"/>
    <xf numFmtId="186" fontId="23" fillId="0" borderId="2" xfId="0" applyNumberFormat="1" applyFont="1" applyFill="1" applyBorder="1" applyAlignment="1" applyProtection="1">
      <protection locked="0"/>
    </xf>
    <xf numFmtId="0" fontId="1" fillId="0" borderId="0" xfId="0" applyNumberFormat="1" applyFont="1" applyFill="1" applyAlignment="1"/>
    <xf numFmtId="187" fontId="1" fillId="0" borderId="0" xfId="0" applyNumberFormat="1" applyFont="1" applyAlignment="1"/>
    <xf numFmtId="0" fontId="9" fillId="0" borderId="0" xfId="0" applyFont="1" applyAlignment="1">
      <alignment horizontal="center"/>
    </xf>
    <xf numFmtId="0" fontId="9" fillId="0" borderId="0" xfId="0" applyFont="1" applyFill="1" applyAlignment="1">
      <alignment horizontal="center"/>
    </xf>
    <xf numFmtId="166" fontId="2" fillId="3" borderId="5" xfId="0" applyNumberFormat="1" applyFont="1" applyFill="1" applyBorder="1" applyAlignment="1">
      <alignment horizontal="center" vertical="center" wrapText="1"/>
    </xf>
    <xf numFmtId="0" fontId="45" fillId="3" borderId="0" xfId="0" applyFont="1" applyFill="1"/>
    <xf numFmtId="3" fontId="9" fillId="3" borderId="0" xfId="0" applyNumberFormat="1" applyFont="1" applyFill="1"/>
    <xf numFmtId="0" fontId="46" fillId="3" borderId="0" xfId="0" applyFont="1" applyFill="1"/>
    <xf numFmtId="164" fontId="1" fillId="3" borderId="0" xfId="0" applyNumberFormat="1" applyFont="1" applyFill="1" applyBorder="1"/>
    <xf numFmtId="3" fontId="1" fillId="3" borderId="0" xfId="0" applyNumberFormat="1" applyFont="1" applyFill="1"/>
    <xf numFmtId="0" fontId="1" fillId="3" borderId="0" xfId="0" quotePrefix="1" applyFont="1" applyFill="1" applyAlignment="1">
      <alignment horizontal="center"/>
    </xf>
    <xf numFmtId="10" fontId="1" fillId="3" borderId="0" xfId="0" applyNumberFormat="1" applyFont="1" applyFill="1"/>
    <xf numFmtId="0" fontId="1" fillId="3" borderId="0" xfId="0" applyFont="1" applyFill="1" applyAlignment="1">
      <alignment horizontal="center"/>
    </xf>
    <xf numFmtId="0" fontId="1" fillId="3" borderId="0" xfId="0" applyFont="1" applyFill="1"/>
    <xf numFmtId="10" fontId="9" fillId="3" borderId="0" xfId="0" applyNumberFormat="1" applyFont="1" applyFill="1"/>
    <xf numFmtId="44" fontId="9" fillId="3" borderId="0" xfId="0" applyNumberFormat="1" applyFont="1" applyFill="1" applyAlignment="1">
      <alignment horizontal="center"/>
    </xf>
    <xf numFmtId="164" fontId="9" fillId="3" borderId="0" xfId="0" applyNumberFormat="1" applyFont="1" applyFill="1" applyAlignment="1">
      <alignment horizontal="center"/>
    </xf>
    <xf numFmtId="44" fontId="21" fillId="3" borderId="0" xfId="0" applyNumberFormat="1" applyFont="1" applyFill="1" applyAlignment="1">
      <alignment horizontal="center"/>
    </xf>
    <xf numFmtId="165" fontId="9" fillId="0" borderId="0" xfId="42" quotePrefix="1" applyNumberFormat="1" applyFont="1" applyFill="1" applyAlignment="1">
      <alignment horizontal="center"/>
    </xf>
    <xf numFmtId="44" fontId="21" fillId="0" borderId="0" xfId="42" applyFont="1" applyFill="1" applyAlignment="1">
      <alignment horizontal="center"/>
    </xf>
    <xf numFmtId="44" fontId="9" fillId="0" borderId="0" xfId="42" applyFont="1" applyFill="1" applyAlignment="1">
      <alignment horizontal="center"/>
    </xf>
    <xf numFmtId="164" fontId="21" fillId="0" borderId="0" xfId="41" quotePrefix="1" applyNumberFormat="1" applyFont="1" applyFill="1" applyAlignment="1">
      <alignment horizontal="center"/>
    </xf>
    <xf numFmtId="0" fontId="9" fillId="0" borderId="0" xfId="0" applyFont="1" applyFill="1" applyAlignment="1">
      <alignment horizontal="left"/>
    </xf>
    <xf numFmtId="44" fontId="9" fillId="0" borderId="1" xfId="42" quotePrefix="1" applyFont="1" applyFill="1" applyBorder="1" applyAlignment="1">
      <alignment horizontal="center"/>
    </xf>
    <xf numFmtId="165" fontId="9" fillId="0" borderId="1" xfId="42" quotePrefix="1" applyNumberFormat="1" applyFont="1" applyFill="1" applyBorder="1" applyAlignment="1">
      <alignment horizontal="center"/>
    </xf>
    <xf numFmtId="165" fontId="9" fillId="0" borderId="1" xfId="0" applyNumberFormat="1" applyFont="1" applyFill="1" applyBorder="1"/>
    <xf numFmtId="165" fontId="9" fillId="0" borderId="4" xfId="42" quotePrefix="1" applyNumberFormat="1" applyFont="1" applyFill="1" applyBorder="1" applyAlignment="1">
      <alignment horizontal="center"/>
    </xf>
    <xf numFmtId="165" fontId="9" fillId="0" borderId="4" xfId="0" applyNumberFormat="1" applyFont="1" applyFill="1" applyBorder="1"/>
    <xf numFmtId="44" fontId="20" fillId="3" borderId="0" xfId="0" applyNumberFormat="1" applyFont="1" applyFill="1" applyAlignment="1">
      <alignment horizontal="center"/>
    </xf>
    <xf numFmtId="44" fontId="20" fillId="3" borderId="0" xfId="0" applyNumberFormat="1" applyFont="1" applyFill="1"/>
    <xf numFmtId="167" fontId="9" fillId="0" borderId="0" xfId="43" applyNumberFormat="1" applyFont="1" applyFill="1"/>
    <xf numFmtId="175" fontId="9" fillId="0" borderId="0" xfId="0" applyNumberFormat="1" applyFont="1" applyFill="1" applyAlignment="1"/>
    <xf numFmtId="43" fontId="1" fillId="0" borderId="0" xfId="41" applyFont="1" applyFill="1" applyAlignment="1"/>
    <xf numFmtId="167" fontId="1" fillId="0" borderId="0" xfId="43" applyNumberFormat="1" applyFont="1" applyBorder="1" applyAlignment="1"/>
    <xf numFmtId="0" fontId="1" fillId="0" borderId="0" xfId="0" applyFont="1" applyFill="1" applyBorder="1" applyAlignment="1">
      <alignment horizontal="center"/>
    </xf>
    <xf numFmtId="167" fontId="1" fillId="0" borderId="0" xfId="43" applyNumberFormat="1" applyFont="1" applyAlignment="1"/>
    <xf numFmtId="7" fontId="9" fillId="0" borderId="0" xfId="0" applyNumberFormat="1" applyFont="1" applyFill="1" applyAlignment="1"/>
    <xf numFmtId="185" fontId="20" fillId="0" borderId="0" xfId="0" applyNumberFormat="1" applyFont="1"/>
    <xf numFmtId="185" fontId="21" fillId="0" borderId="0" xfId="0" applyNumberFormat="1" applyFont="1"/>
    <xf numFmtId="7" fontId="20" fillId="0" borderId="0" xfId="0" applyNumberFormat="1" applyFont="1" applyFill="1" applyAlignment="1"/>
    <xf numFmtId="175" fontId="20" fillId="0" borderId="0" xfId="0" applyNumberFormat="1" applyFont="1" applyFill="1" applyAlignment="1"/>
    <xf numFmtId="0" fontId="20" fillId="0" borderId="0" xfId="0" applyFont="1" applyFill="1" applyBorder="1"/>
    <xf numFmtId="7" fontId="21" fillId="0" borderId="0" xfId="0" applyNumberFormat="1" applyFont="1" applyFill="1"/>
    <xf numFmtId="175" fontId="21" fillId="0" borderId="0" xfId="0" applyNumberFormat="1" applyFont="1" applyFill="1"/>
    <xf numFmtId="0" fontId="11" fillId="0" borderId="0" xfId="0" applyFont="1" applyFill="1"/>
    <xf numFmtId="0" fontId="9" fillId="0" borderId="0" xfId="0" applyFont="1" applyFill="1" applyAlignment="1"/>
    <xf numFmtId="0" fontId="12" fillId="0" borderId="0" xfId="0" applyFont="1" applyFill="1" applyBorder="1" applyAlignment="1">
      <alignment vertical="center"/>
    </xf>
    <xf numFmtId="166" fontId="9" fillId="0" borderId="0" xfId="0" applyNumberFormat="1" applyFont="1" applyFill="1" applyBorder="1" applyAlignment="1">
      <alignment horizontal="center"/>
    </xf>
    <xf numFmtId="166" fontId="9" fillId="0" borderId="0" xfId="0" applyNumberFormat="1" applyFont="1" applyFill="1"/>
    <xf numFmtId="0" fontId="45" fillId="0" borderId="0" xfId="0" applyFont="1" applyFill="1" applyAlignment="1">
      <alignment horizontal="left"/>
    </xf>
    <xf numFmtId="164" fontId="9" fillId="0" borderId="0" xfId="0" applyNumberFormat="1" applyFont="1" applyFill="1"/>
    <xf numFmtId="44" fontId="9" fillId="0" borderId="0" xfId="0" applyNumberFormat="1" applyFont="1" applyFill="1"/>
    <xf numFmtId="165" fontId="11" fillId="0" borderId="0" xfId="0" applyNumberFormat="1" applyFont="1" applyFill="1"/>
    <xf numFmtId="168" fontId="11" fillId="0" borderId="0" xfId="0" applyNumberFormat="1" applyFont="1" applyFill="1"/>
    <xf numFmtId="0" fontId="1" fillId="0" borderId="0" xfId="0" applyFont="1" applyBorder="1" applyAlignment="1">
      <alignment horizontal="centerContinuous"/>
    </xf>
    <xf numFmtId="10" fontId="1" fillId="0" borderId="0" xfId="0" applyNumberFormat="1" applyFont="1" applyFill="1"/>
    <xf numFmtId="0" fontId="1" fillId="0" borderId="0" xfId="0" quotePrefix="1" applyFont="1" applyFill="1" applyBorder="1" applyAlignment="1">
      <alignment horizontal="center"/>
    </xf>
    <xf numFmtId="0" fontId="11" fillId="0" borderId="0" xfId="0" applyFont="1" applyFill="1" applyAlignment="1">
      <alignment horizontal="left"/>
    </xf>
    <xf numFmtId="43" fontId="20" fillId="0" borderId="0" xfId="0" applyNumberFormat="1" applyFont="1" applyFill="1"/>
    <xf numFmtId="0" fontId="20" fillId="0" borderId="0" xfId="0" applyFont="1" applyAlignment="1">
      <alignment horizontal="center"/>
    </xf>
    <xf numFmtId="0" fontId="29" fillId="0" borderId="0" xfId="0" applyFont="1" applyFill="1" applyAlignment="1"/>
    <xf numFmtId="0" fontId="9" fillId="0" borderId="0" xfId="0" applyFont="1" applyFill="1" applyBorder="1" applyAlignment="1">
      <alignment horizontal="center" vertical="center" wrapText="1"/>
    </xf>
    <xf numFmtId="166" fontId="12" fillId="0" borderId="5" xfId="0" applyNumberFormat="1" applyFont="1" applyFill="1" applyBorder="1" applyAlignment="1">
      <alignment horizontal="center"/>
    </xf>
    <xf numFmtId="43" fontId="4" fillId="0" borderId="0" xfId="0" applyNumberFormat="1" applyFont="1" applyFill="1" applyBorder="1"/>
    <xf numFmtId="164" fontId="21" fillId="0" borderId="0" xfId="41" applyNumberFormat="1" applyFont="1"/>
    <xf numFmtId="168" fontId="9" fillId="0" borderId="0" xfId="42" applyNumberFormat="1" applyFont="1"/>
    <xf numFmtId="165" fontId="9" fillId="0" borderId="1" xfId="42" applyNumberFormat="1" applyFont="1" applyBorder="1"/>
    <xf numFmtId="0" fontId="25" fillId="0" borderId="0" xfId="0" applyFont="1"/>
    <xf numFmtId="165" fontId="20" fillId="0" borderId="0" xfId="0" applyNumberFormat="1" applyFont="1" applyFill="1"/>
    <xf numFmtId="168" fontId="20" fillId="0" borderId="5" xfId="0" applyNumberFormat="1" applyFont="1" applyFill="1" applyBorder="1"/>
    <xf numFmtId="175" fontId="20" fillId="0" borderId="0" xfId="0" applyNumberFormat="1" applyFont="1" applyFill="1"/>
    <xf numFmtId="44" fontId="20" fillId="0" borderId="0" xfId="0" applyNumberFormat="1" applyFont="1" applyFill="1" applyBorder="1" applyAlignment="1">
      <alignment horizontal="center"/>
    </xf>
    <xf numFmtId="168" fontId="20" fillId="0" borderId="0" xfId="0" applyNumberFormat="1" applyFont="1"/>
    <xf numFmtId="0" fontId="20" fillId="0" borderId="0" xfId="0" applyFont="1"/>
    <xf numFmtId="168" fontId="20" fillId="0" borderId="0" xfId="0" applyNumberFormat="1" applyFont="1" applyBorder="1"/>
    <xf numFmtId="184" fontId="20" fillId="0" borderId="0" xfId="0" applyNumberFormat="1" applyFont="1" applyFill="1" applyBorder="1"/>
    <xf numFmtId="192" fontId="9" fillId="0" borderId="0" xfId="43" applyNumberFormat="1" applyFont="1"/>
    <xf numFmtId="3" fontId="20" fillId="0" borderId="0" xfId="0" applyNumberFormat="1" applyFont="1"/>
    <xf numFmtId="3" fontId="20" fillId="0" borderId="5" xfId="0" applyNumberFormat="1" applyFont="1" applyBorder="1"/>
    <xf numFmtId="3" fontId="20" fillId="0" borderId="0" xfId="0" applyNumberFormat="1" applyFont="1" applyBorder="1"/>
    <xf numFmtId="164" fontId="9" fillId="0" borderId="0" xfId="41" applyNumberFormat="1" applyFont="1"/>
    <xf numFmtId="164" fontId="21" fillId="0" borderId="5" xfId="41" applyNumberFormat="1" applyFont="1" applyBorder="1"/>
    <xf numFmtId="165" fontId="9" fillId="0" borderId="0" xfId="42" applyNumberFormat="1" applyFont="1" applyFill="1" applyBorder="1" applyAlignment="1">
      <alignment horizontal="center"/>
    </xf>
    <xf numFmtId="165" fontId="9" fillId="0" borderId="0" xfId="42" applyNumberFormat="1" applyFont="1"/>
    <xf numFmtId="0" fontId="9" fillId="91" borderId="0" xfId="0" applyFont="1" applyFill="1"/>
    <xf numFmtId="164" fontId="9" fillId="91" borderId="0" xfId="0" applyNumberFormat="1" applyFont="1" applyFill="1"/>
    <xf numFmtId="44" fontId="20" fillId="0" borderId="0" xfId="0" applyNumberFormat="1" applyFont="1" applyFill="1"/>
    <xf numFmtId="164" fontId="20" fillId="0" borderId="0" xfId="0" applyNumberFormat="1" applyFont="1" applyFill="1"/>
    <xf numFmtId="164" fontId="21" fillId="0" borderId="0" xfId="0" applyNumberFormat="1" applyFont="1" applyFill="1"/>
    <xf numFmtId="168" fontId="20" fillId="0" borderId="0" xfId="0" applyNumberFormat="1" applyFont="1" applyFill="1"/>
    <xf numFmtId="168" fontId="20" fillId="0" borderId="5" xfId="0" applyNumberFormat="1" applyFont="1" applyBorder="1"/>
    <xf numFmtId="44" fontId="20" fillId="0" borderId="0" xfId="0" applyNumberFormat="1" applyFont="1"/>
    <xf numFmtId="165" fontId="9" fillId="0" borderId="5" xfId="42" applyNumberFormat="1" applyFont="1" applyFill="1" applyBorder="1" applyAlignment="1">
      <alignment horizontal="center"/>
    </xf>
    <xf numFmtId="44" fontId="0" fillId="0" borderId="0" xfId="42" applyFont="1"/>
    <xf numFmtId="164" fontId="0" fillId="0" borderId="5" xfId="41" applyNumberFormat="1" applyFont="1" applyBorder="1"/>
    <xf numFmtId="0" fontId="0" fillId="0" borderId="5" xfId="0" applyBorder="1"/>
    <xf numFmtId="0" fontId="0" fillId="0" borderId="0" xfId="0" applyAlignment="1">
      <alignment horizontal="center"/>
    </xf>
    <xf numFmtId="0" fontId="0" fillId="0" borderId="5" xfId="0" applyBorder="1" applyAlignment="1">
      <alignment horizontal="center"/>
    </xf>
    <xf numFmtId="44" fontId="0" fillId="0" borderId="4" xfId="0" applyNumberFormat="1" applyBorder="1"/>
    <xf numFmtId="44" fontId="0" fillId="0" borderId="44" xfId="0" applyNumberFormat="1" applyBorder="1"/>
    <xf numFmtId="0" fontId="0" fillId="0" borderId="44" xfId="0" applyBorder="1"/>
    <xf numFmtId="0" fontId="0" fillId="0" borderId="4" xfId="0" applyBorder="1"/>
    <xf numFmtId="44" fontId="0" fillId="0" borderId="1" xfId="42" applyFont="1" applyBorder="1"/>
    <xf numFmtId="44" fontId="0" fillId="0" borderId="1" xfId="0" applyNumberFormat="1" applyBorder="1"/>
    <xf numFmtId="0" fontId="32" fillId="0" borderId="45" xfId="425" applyNumberFormat="1" applyFont="1" applyFill="1" applyBorder="1" applyAlignment="1" applyProtection="1">
      <alignment horizontal="centerContinuous"/>
      <protection locked="0"/>
    </xf>
    <xf numFmtId="0" fontId="23" fillId="0" borderId="0" xfId="425" applyNumberFormat="1" applyFont="1" applyFill="1" applyBorder="1" applyAlignment="1">
      <alignment horizontal="centerContinuous"/>
    </xf>
    <xf numFmtId="0" fontId="32" fillId="0" borderId="0" xfId="425" applyNumberFormat="1" applyFont="1" applyFill="1" applyBorder="1" applyAlignment="1">
      <alignment horizontal="centerContinuous"/>
    </xf>
    <xf numFmtId="0" fontId="32" fillId="0" borderId="46" xfId="425" applyNumberFormat="1" applyFont="1" applyFill="1" applyBorder="1" applyAlignment="1">
      <alignment horizontal="centerContinuous"/>
    </xf>
    <xf numFmtId="0" fontId="32" fillId="0" borderId="45" xfId="425" applyNumberFormat="1" applyFont="1" applyFill="1" applyBorder="1" applyAlignment="1">
      <alignment horizontal="centerContinuous"/>
    </xf>
    <xf numFmtId="0" fontId="23" fillId="0" borderId="45" xfId="425" applyNumberFormat="1" applyFont="1" applyFill="1" applyBorder="1" applyAlignment="1" applyProtection="1">
      <protection locked="0"/>
    </xf>
    <xf numFmtId="0" fontId="23" fillId="0" borderId="0" xfId="425" applyNumberFormat="1" applyFont="1" applyFill="1" applyBorder="1" applyAlignment="1"/>
    <xf numFmtId="0" fontId="23" fillId="0" borderId="46" xfId="425" applyNumberFormat="1" applyFont="1" applyFill="1" applyBorder="1" applyAlignment="1"/>
    <xf numFmtId="0" fontId="23" fillId="0" borderId="45" xfId="425" applyNumberFormat="1" applyFont="1" applyFill="1" applyBorder="1" applyAlignment="1"/>
    <xf numFmtId="0" fontId="32" fillId="0" borderId="45" xfId="425" applyNumberFormat="1" applyFont="1" applyFill="1" applyBorder="1" applyAlignment="1">
      <alignment horizontal="center"/>
    </xf>
    <xf numFmtId="0" fontId="23" fillId="0" borderId="0" xfId="425" applyNumberFormat="1" applyFont="1" applyFill="1" applyBorder="1" applyAlignment="1">
      <alignment horizontal="center"/>
    </xf>
    <xf numFmtId="0" fontId="23" fillId="0" borderId="46" xfId="425" applyNumberFormat="1" applyFont="1" applyFill="1" applyBorder="1" applyAlignment="1">
      <alignment horizontal="center"/>
    </xf>
    <xf numFmtId="0" fontId="32" fillId="0" borderId="47" xfId="425" applyNumberFormat="1" applyFont="1" applyFill="1" applyBorder="1" applyAlignment="1">
      <alignment horizontal="center"/>
    </xf>
    <xf numFmtId="0" fontId="32" fillId="0" borderId="5" xfId="425" applyNumberFormat="1" applyFont="1" applyFill="1" applyBorder="1" applyAlignment="1">
      <alignment horizontal="left"/>
    </xf>
    <xf numFmtId="0" fontId="23" fillId="0" borderId="5" xfId="425" applyNumberFormat="1" applyFont="1" applyFill="1" applyBorder="1" applyAlignment="1">
      <alignment horizontal="center"/>
    </xf>
    <xf numFmtId="0" fontId="23" fillId="0" borderId="48" xfId="425" applyNumberFormat="1" applyFont="1" applyFill="1" applyBorder="1" applyAlignment="1">
      <alignment horizontal="center"/>
    </xf>
    <xf numFmtId="0" fontId="23" fillId="0" borderId="45" xfId="425" applyNumberFormat="1" applyFont="1" applyFill="1" applyBorder="1" applyAlignment="1">
      <alignment horizontal="fill"/>
    </xf>
    <xf numFmtId="0" fontId="23" fillId="0" borderId="0" xfId="425" applyNumberFormat="1" applyFont="1" applyFill="1" applyBorder="1" applyAlignment="1">
      <alignment horizontal="fill"/>
    </xf>
    <xf numFmtId="0" fontId="23" fillId="0" borderId="46" xfId="425" applyNumberFormat="1" applyFont="1" applyFill="1" applyBorder="1" applyAlignment="1">
      <alignment horizontal="fill"/>
    </xf>
    <xf numFmtId="0" fontId="23" fillId="0" borderId="45" xfId="425" applyNumberFormat="1" applyFont="1" applyFill="1" applyBorder="1" applyAlignment="1">
      <alignment horizontal="center"/>
    </xf>
    <xf numFmtId="10" fontId="23" fillId="0" borderId="0" xfId="425" applyNumberFormat="1" applyFont="1" applyFill="1" applyBorder="1" applyAlignment="1" applyProtection="1">
      <protection locked="0"/>
    </xf>
    <xf numFmtId="10" fontId="23" fillId="0" borderId="46" xfId="425" applyNumberFormat="1" applyFont="1" applyFill="1" applyBorder="1" applyAlignment="1"/>
    <xf numFmtId="10" fontId="23" fillId="0" borderId="0" xfId="425" applyNumberFormat="1" applyFont="1" applyFill="1" applyBorder="1" applyAlignment="1"/>
    <xf numFmtId="10" fontId="23" fillId="0" borderId="5" xfId="425" applyNumberFormat="1" applyFont="1" applyFill="1" applyBorder="1" applyAlignment="1"/>
    <xf numFmtId="10" fontId="23" fillId="0" borderId="6" xfId="425" applyNumberFormat="1" applyFont="1" applyFill="1" applyBorder="1" applyAlignment="1"/>
    <xf numFmtId="10" fontId="23" fillId="0" borderId="49" xfId="425" applyNumberFormat="1" applyFont="1" applyFill="1" applyBorder="1" applyAlignment="1"/>
    <xf numFmtId="0" fontId="23" fillId="0" borderId="50" xfId="425" applyNumberFormat="1" applyFont="1" applyFill="1" applyBorder="1" applyAlignment="1">
      <alignment horizontal="center"/>
    </xf>
    <xf numFmtId="0" fontId="23" fillId="0" borderId="3" xfId="425" applyNumberFormat="1" applyFont="1" applyFill="1" applyBorder="1" applyAlignment="1"/>
    <xf numFmtId="10" fontId="23" fillId="0" borderId="3" xfId="425" applyNumberFormat="1" applyFont="1" applyFill="1" applyBorder="1" applyAlignment="1"/>
    <xf numFmtId="10" fontId="23" fillId="0" borderId="51" xfId="425" applyNumberFormat="1" applyFont="1" applyFill="1" applyBorder="1" applyAlignment="1"/>
    <xf numFmtId="10" fontId="23" fillId="0" borderId="0" xfId="425" applyNumberFormat="1" applyFont="1" applyFill="1" applyAlignment="1"/>
    <xf numFmtId="0" fontId="1" fillId="0" borderId="0" xfId="426" applyNumberFormat="1" applyAlignment="1"/>
    <xf numFmtId="0" fontId="32" fillId="0" borderId="0" xfId="426" applyNumberFormat="1" applyFont="1" applyFill="1" applyAlignment="1">
      <alignment horizontal="centerContinuous"/>
    </xf>
    <xf numFmtId="0" fontId="32" fillId="0" borderId="0" xfId="426" applyNumberFormat="1" applyFont="1" applyFill="1" applyAlignment="1" applyProtection="1">
      <alignment horizontal="centerContinuous"/>
      <protection locked="0"/>
    </xf>
    <xf numFmtId="0" fontId="32" fillId="0" borderId="0" xfId="426" applyNumberFormat="1" applyFont="1" applyFill="1" applyAlignment="1"/>
    <xf numFmtId="0" fontId="32" fillId="0" borderId="5" xfId="426" applyNumberFormat="1" applyFont="1" applyFill="1" applyBorder="1" applyAlignment="1">
      <alignment horizontal="center"/>
    </xf>
    <xf numFmtId="0" fontId="32" fillId="0" borderId="5" xfId="426" applyNumberFormat="1" applyFont="1" applyFill="1" applyBorder="1" applyAlignment="1" applyProtection="1">
      <protection locked="0"/>
    </xf>
    <xf numFmtId="0" fontId="32" fillId="0" borderId="5" xfId="426" applyNumberFormat="1" applyFont="1" applyFill="1" applyBorder="1" applyAlignment="1"/>
    <xf numFmtId="0" fontId="32" fillId="0" borderId="5" xfId="426" applyNumberFormat="1" applyFont="1" applyFill="1" applyBorder="1" applyAlignment="1">
      <alignment horizontal="right"/>
    </xf>
    <xf numFmtId="0" fontId="23" fillId="0" borderId="0" xfId="426" applyNumberFormat="1" applyFont="1" applyFill="1" applyAlignment="1"/>
    <xf numFmtId="0" fontId="23" fillId="0" borderId="0" xfId="426" applyNumberFormat="1" applyFont="1" applyFill="1" applyAlignment="1">
      <alignment horizontal="center"/>
    </xf>
    <xf numFmtId="0" fontId="23" fillId="0" borderId="0" xfId="426" applyNumberFormat="1" applyFont="1" applyFill="1" applyAlignment="1">
      <alignment horizontal="left"/>
    </xf>
    <xf numFmtId="186" fontId="23" fillId="0" borderId="0" xfId="426" applyNumberFormat="1" applyFont="1" applyFill="1" applyAlignment="1"/>
    <xf numFmtId="167" fontId="23" fillId="0" borderId="0" xfId="426" applyNumberFormat="1" applyFont="1" applyFill="1" applyAlignment="1"/>
    <xf numFmtId="186" fontId="23" fillId="0" borderId="5" xfId="426" applyNumberFormat="1" applyFont="1" applyFill="1" applyBorder="1" applyAlignment="1"/>
    <xf numFmtId="186" fontId="23" fillId="0" borderId="0" xfId="426" applyNumberFormat="1" applyFont="1" applyFill="1" applyBorder="1" applyAlignment="1"/>
    <xf numFmtId="9" fontId="23" fillId="0" borderId="0" xfId="426" applyNumberFormat="1" applyFont="1" applyFill="1" applyAlignment="1"/>
    <xf numFmtId="186" fontId="23" fillId="0" borderId="2" xfId="426" applyNumberFormat="1" applyFont="1" applyFill="1" applyBorder="1" applyAlignment="1" applyProtection="1">
      <protection locked="0"/>
    </xf>
    <xf numFmtId="10" fontId="0" fillId="0" borderId="0" xfId="43" applyNumberFormat="1" applyFont="1"/>
    <xf numFmtId="44" fontId="0" fillId="0" borderId="54" xfId="42" applyFont="1" applyBorder="1"/>
    <xf numFmtId="164" fontId="0" fillId="0" borderId="55" xfId="41" applyNumberFormat="1" applyFont="1" applyBorder="1"/>
    <xf numFmtId="44" fontId="0" fillId="0" borderId="53" xfId="42" applyFont="1" applyBorder="1"/>
    <xf numFmtId="0" fontId="0" fillId="0" borderId="54" xfId="0" applyBorder="1"/>
    <xf numFmtId="44" fontId="0" fillId="0" borderId="56" xfId="0" applyNumberFormat="1" applyBorder="1"/>
    <xf numFmtId="10" fontId="0" fillId="0" borderId="54" xfId="43" applyNumberFormat="1" applyFont="1" applyBorder="1"/>
    <xf numFmtId="44" fontId="0" fillId="0" borderId="52" xfId="0" applyNumberFormat="1" applyBorder="1"/>
    <xf numFmtId="0" fontId="0" fillId="0" borderId="55" xfId="0" applyBorder="1" applyAlignment="1">
      <alignment horizontal="center"/>
    </xf>
    <xf numFmtId="44" fontId="0" fillId="0" borderId="53" xfId="0" applyNumberFormat="1" applyBorder="1"/>
    <xf numFmtId="0" fontId="0" fillId="0" borderId="0" xfId="0" applyBorder="1"/>
    <xf numFmtId="44" fontId="0" fillId="0" borderId="54" xfId="0" applyNumberFormat="1" applyBorder="1"/>
    <xf numFmtId="44" fontId="0" fillId="0" borderId="0" xfId="0" applyNumberFormat="1" applyBorder="1"/>
    <xf numFmtId="44" fontId="0" fillId="0" borderId="57" xfId="0" applyNumberFormat="1" applyBorder="1"/>
    <xf numFmtId="0" fontId="6" fillId="0" borderId="58" xfId="258" applyBorder="1"/>
    <xf numFmtId="166" fontId="6" fillId="0" borderId="58" xfId="258" applyNumberFormat="1" applyBorder="1"/>
    <xf numFmtId="166" fontId="6" fillId="0" borderId="18" xfId="258" applyNumberFormat="1" applyBorder="1"/>
    <xf numFmtId="166" fontId="6" fillId="0" borderId="59" xfId="258" applyNumberFormat="1" applyBorder="1"/>
    <xf numFmtId="0" fontId="1" fillId="0" borderId="60" xfId="258" applyFont="1" applyBorder="1" applyAlignment="1">
      <alignment horizontal="center"/>
    </xf>
    <xf numFmtId="0" fontId="6" fillId="0" borderId="58" xfId="258" applyNumberFormat="1" applyBorder="1"/>
    <xf numFmtId="0" fontId="6" fillId="0" borderId="18" xfId="258" applyNumberFormat="1" applyBorder="1"/>
    <xf numFmtId="0" fontId="6" fillId="0" borderId="18" xfId="258" applyNumberFormat="1" applyFill="1" applyBorder="1"/>
    <xf numFmtId="0" fontId="6" fillId="0" borderId="59" xfId="258" applyNumberFormat="1" applyBorder="1"/>
    <xf numFmtId="164" fontId="0" fillId="0" borderId="0" xfId="427" applyNumberFormat="1" applyFont="1" applyBorder="1"/>
    <xf numFmtId="0" fontId="6" fillId="0" borderId="61" xfId="258" applyBorder="1"/>
    <xf numFmtId="0" fontId="6" fillId="0" borderId="61" xfId="258" applyNumberFormat="1" applyBorder="1"/>
    <xf numFmtId="0" fontId="6" fillId="0" borderId="0" xfId="258" applyNumberFormat="1"/>
    <xf numFmtId="0" fontId="6" fillId="0" borderId="0" xfId="258" applyNumberFormat="1" applyFill="1"/>
    <xf numFmtId="0" fontId="6" fillId="0" borderId="62" xfId="258" applyNumberFormat="1" applyBorder="1"/>
    <xf numFmtId="0" fontId="6" fillId="0" borderId="63" xfId="258" applyBorder="1"/>
    <xf numFmtId="0" fontId="6" fillId="0" borderId="63" xfId="258" applyNumberFormat="1" applyBorder="1"/>
    <xf numFmtId="0" fontId="6" fillId="0" borderId="17" xfId="258" applyNumberFormat="1" applyBorder="1"/>
    <xf numFmtId="0" fontId="6" fillId="0" borderId="64" xfId="258" applyNumberFormat="1" applyBorder="1"/>
    <xf numFmtId="164" fontId="0" fillId="0" borderId="0" xfId="41" applyNumberFormat="1" applyFont="1"/>
    <xf numFmtId="0" fontId="0" fillId="0" borderId="65" xfId="0" applyBorder="1" applyAlignment="1">
      <alignment horizontal="center"/>
    </xf>
    <xf numFmtId="0" fontId="0" fillId="0" borderId="66" xfId="0" applyBorder="1"/>
    <xf numFmtId="165" fontId="0" fillId="0" borderId="54" xfId="42" applyNumberFormat="1" applyFont="1" applyBorder="1"/>
    <xf numFmtId="165" fontId="0" fillId="0" borderId="66" xfId="42" applyNumberFormat="1" applyFont="1" applyBorder="1"/>
    <xf numFmtId="164" fontId="0" fillId="0" borderId="54" xfId="41" applyNumberFormat="1" applyFont="1" applyBorder="1"/>
    <xf numFmtId="164" fontId="0" fillId="0" borderId="66" xfId="41" applyNumberFormat="1" applyFont="1" applyBorder="1"/>
    <xf numFmtId="44" fontId="0" fillId="0" borderId="67" xfId="0" applyNumberFormat="1" applyBorder="1"/>
    <xf numFmtId="44" fontId="0" fillId="0" borderId="68" xfId="0" applyNumberFormat="1" applyBorder="1"/>
    <xf numFmtId="10" fontId="0" fillId="0" borderId="66" xfId="43" applyNumberFormat="1" applyFont="1" applyBorder="1"/>
    <xf numFmtId="44" fontId="0" fillId="0" borderId="69" xfId="0" applyNumberFormat="1" applyBorder="1"/>
    <xf numFmtId="44" fontId="0" fillId="0" borderId="70" xfId="0" applyNumberFormat="1" applyBorder="1"/>
    <xf numFmtId="44" fontId="0" fillId="0" borderId="71" xfId="0" applyNumberFormat="1" applyBorder="1"/>
    <xf numFmtId="164" fontId="0" fillId="0" borderId="65" xfId="41" applyNumberFormat="1" applyFont="1" applyBorder="1"/>
    <xf numFmtId="44" fontId="0" fillId="0" borderId="66" xfId="42" applyFont="1" applyBorder="1"/>
    <xf numFmtId="44" fontId="0" fillId="0" borderId="67" xfId="42" applyFont="1" applyBorder="1"/>
    <xf numFmtId="165" fontId="0" fillId="0" borderId="54" xfId="0" applyNumberFormat="1" applyBorder="1"/>
    <xf numFmtId="165" fontId="0" fillId="0" borderId="66" xfId="0" applyNumberFormat="1" applyBorder="1"/>
    <xf numFmtId="44" fontId="0" fillId="0" borderId="66" xfId="0" applyNumberFormat="1" applyBorder="1"/>
    <xf numFmtId="0" fontId="32" fillId="0" borderId="0" xfId="426" applyNumberFormat="1" applyFont="1" applyFill="1" applyAlignment="1">
      <alignment horizontal="center"/>
    </xf>
    <xf numFmtId="0" fontId="2" fillId="0" borderId="0" xfId="0" applyFont="1" applyFill="1" applyAlignment="1">
      <alignment horizontal="center"/>
    </xf>
    <xf numFmtId="0" fontId="29" fillId="0" borderId="0" xfId="0" applyFont="1" applyFill="1" applyAlignment="1">
      <alignment horizontal="center"/>
    </xf>
    <xf numFmtId="0" fontId="2" fillId="0" borderId="0" xfId="0" applyFont="1" applyAlignment="1">
      <alignment horizontal="center"/>
    </xf>
    <xf numFmtId="0" fontId="29" fillId="0" borderId="0" xfId="0" applyFont="1" applyAlignment="1">
      <alignment horizontal="center"/>
    </xf>
    <xf numFmtId="0" fontId="9" fillId="0" borderId="0" xfId="0" applyFont="1" applyAlignment="1">
      <alignment horizontal="center"/>
    </xf>
    <xf numFmtId="0" fontId="1" fillId="0" borderId="5" xfId="0" applyFont="1" applyFill="1" applyBorder="1" applyAlignment="1">
      <alignment horizontal="center"/>
    </xf>
    <xf numFmtId="0" fontId="9" fillId="0" borderId="5" xfId="0" applyFont="1" applyBorder="1" applyAlignment="1">
      <alignment horizontal="center"/>
    </xf>
    <xf numFmtId="0" fontId="9" fillId="0" borderId="0" xfId="0" applyFont="1" applyFill="1" applyAlignment="1">
      <alignment wrapText="1"/>
    </xf>
    <xf numFmtId="0" fontId="9" fillId="0" borderId="0" xfId="0" applyFont="1" applyAlignment="1">
      <alignment wrapText="1"/>
    </xf>
    <xf numFmtId="0" fontId="32" fillId="0" borderId="0" xfId="0" applyNumberFormat="1" applyFont="1" applyFill="1" applyAlignment="1">
      <alignment horizontal="center"/>
    </xf>
    <xf numFmtId="182" fontId="1" fillId="0" borderId="6" xfId="0" applyNumberFormat="1" applyFont="1" applyBorder="1"/>
    <xf numFmtId="176" fontId="1" fillId="0" borderId="0" xfId="0" applyNumberFormat="1" applyFont="1" applyBorder="1"/>
    <xf numFmtId="44" fontId="1" fillId="0" borderId="0" xfId="0" applyNumberFormat="1" applyFont="1" applyBorder="1"/>
    <xf numFmtId="0" fontId="0" fillId="0" borderId="53" xfId="0" applyBorder="1" applyAlignment="1">
      <alignment horizontal="center"/>
    </xf>
    <xf numFmtId="0" fontId="0" fillId="0" borderId="67" xfId="0" applyBorder="1" applyAlignment="1">
      <alignment horizontal="center"/>
    </xf>
    <xf numFmtId="0" fontId="2" fillId="0" borderId="0" xfId="0" applyFont="1" applyFill="1" applyAlignment="1">
      <alignment horizontal="center"/>
    </xf>
    <xf numFmtId="0" fontId="32" fillId="0" borderId="45" xfId="425" applyNumberFormat="1" applyFont="1" applyFill="1" applyBorder="1" applyAlignment="1" applyProtection="1">
      <alignment horizontal="center"/>
      <protection locked="0"/>
    </xf>
    <xf numFmtId="0" fontId="32" fillId="0" borderId="0" xfId="425" applyNumberFormat="1" applyFont="1" applyFill="1" applyBorder="1" applyAlignment="1" applyProtection="1">
      <alignment horizontal="center"/>
      <protection locked="0"/>
    </xf>
    <xf numFmtId="0" fontId="32" fillId="0" borderId="46" xfId="425" applyNumberFormat="1" applyFont="1" applyFill="1" applyBorder="1" applyAlignment="1" applyProtection="1">
      <alignment horizontal="center"/>
      <protection locked="0"/>
    </xf>
    <xf numFmtId="0" fontId="32" fillId="0" borderId="0" xfId="426" applyNumberFormat="1" applyFont="1" applyFill="1" applyAlignment="1" applyProtection="1">
      <alignment horizontal="center"/>
      <protection locked="0"/>
    </xf>
    <xf numFmtId="0" fontId="32" fillId="0" borderId="0" xfId="426" applyNumberFormat="1" applyFont="1" applyAlignment="1">
      <alignment horizontal="center"/>
    </xf>
    <xf numFmtId="0" fontId="32" fillId="0" borderId="0" xfId="426" applyNumberFormat="1" applyFont="1" applyFill="1" applyAlignment="1">
      <alignment horizontal="center"/>
    </xf>
    <xf numFmtId="0" fontId="29" fillId="0" borderId="0" xfId="0" applyFont="1" applyFill="1" applyAlignment="1">
      <alignment horizontal="center"/>
    </xf>
    <xf numFmtId="0" fontId="2" fillId="0" borderId="0" xfId="0" applyFont="1" applyAlignment="1">
      <alignment horizontal="center"/>
    </xf>
    <xf numFmtId="0" fontId="2" fillId="0" borderId="0" xfId="0" quotePrefix="1" applyFont="1" applyAlignment="1">
      <alignment horizontal="center"/>
    </xf>
    <xf numFmtId="0" fontId="29" fillId="0" borderId="0" xfId="0" applyFont="1" applyAlignment="1">
      <alignment horizontal="center"/>
    </xf>
    <xf numFmtId="0" fontId="29" fillId="0" borderId="0" xfId="0" quotePrefix="1" applyFont="1" applyAlignment="1">
      <alignment horizontal="center"/>
    </xf>
    <xf numFmtId="0" fontId="29" fillId="0" borderId="0" xfId="0" quotePrefix="1" applyFont="1" applyFill="1" applyAlignment="1">
      <alignment horizontal="center"/>
    </xf>
    <xf numFmtId="0" fontId="9" fillId="0" borderId="0" xfId="0" applyFont="1" applyAlignment="1">
      <alignment horizontal="center"/>
    </xf>
    <xf numFmtId="0" fontId="21" fillId="0" borderId="0" xfId="0" applyFont="1" applyAlignment="1">
      <alignment horizontal="center"/>
    </xf>
    <xf numFmtId="0" fontId="12" fillId="0" borderId="0" xfId="0" applyFont="1" applyFill="1" applyAlignment="1">
      <alignment horizontal="center"/>
    </xf>
    <xf numFmtId="0" fontId="1" fillId="0" borderId="5" xfId="0" applyFont="1" applyFill="1" applyBorder="1" applyAlignment="1">
      <alignment horizontal="center"/>
    </xf>
    <xf numFmtId="0" fontId="12" fillId="0" borderId="0" xfId="0" applyFont="1" applyAlignment="1">
      <alignment horizontal="center"/>
    </xf>
    <xf numFmtId="0" fontId="9" fillId="0" borderId="5" xfId="0" applyFont="1" applyBorder="1" applyAlignment="1">
      <alignment horizontal="center"/>
    </xf>
    <xf numFmtId="0" fontId="9" fillId="0" borderId="0" xfId="0" applyFont="1" applyFill="1" applyAlignment="1">
      <alignment wrapText="1"/>
    </xf>
    <xf numFmtId="0" fontId="9" fillId="0" borderId="0" xfId="0" applyFont="1" applyAlignment="1">
      <alignment wrapText="1"/>
    </xf>
    <xf numFmtId="0" fontId="9" fillId="0" borderId="0" xfId="0" applyFont="1" applyAlignment="1">
      <alignment horizontal="left" wrapText="1"/>
    </xf>
    <xf numFmtId="165" fontId="9" fillId="0" borderId="0" xfId="0" applyNumberFormat="1" applyFont="1" applyFill="1" applyAlignment="1">
      <alignment horizontal="center"/>
    </xf>
    <xf numFmtId="0" fontId="32" fillId="0" borderId="0" xfId="0" applyNumberFormat="1" applyFont="1" applyFill="1" applyAlignment="1" applyProtection="1">
      <alignment horizontal="center"/>
      <protection locked="0"/>
    </xf>
    <xf numFmtId="0" fontId="32" fillId="0" borderId="0" xfId="0" applyNumberFormat="1" applyFont="1" applyAlignment="1">
      <alignment horizontal="center"/>
    </xf>
    <xf numFmtId="0" fontId="32" fillId="0" borderId="0" xfId="0" applyNumberFormat="1" applyFont="1" applyFill="1" applyAlignment="1">
      <alignment horizontal="center"/>
    </xf>
    <xf numFmtId="0" fontId="2" fillId="3" borderId="0" xfId="0" applyFont="1" applyFill="1" applyAlignment="1">
      <alignment horizontal="center"/>
    </xf>
  </cellXfs>
  <cellStyles count="428">
    <cellStyle name="20% - Accent1 2" xfId="45" xr:uid="{00000000-0005-0000-0000-000000000000}"/>
    <cellStyle name="20% - Accent1 3" xfId="46" xr:uid="{00000000-0005-0000-0000-000001000000}"/>
    <cellStyle name="20% - Accent1 4" xfId="47" xr:uid="{00000000-0005-0000-0000-000002000000}"/>
    <cellStyle name="20% - Accent2 2" xfId="48" xr:uid="{00000000-0005-0000-0000-000003000000}"/>
    <cellStyle name="20% - Accent2 3" xfId="49" xr:uid="{00000000-0005-0000-0000-000004000000}"/>
    <cellStyle name="20% - Accent2 4" xfId="50" xr:uid="{00000000-0005-0000-0000-000005000000}"/>
    <cellStyle name="20% - Accent3 2" xfId="51" xr:uid="{00000000-0005-0000-0000-000006000000}"/>
    <cellStyle name="20% - Accent3 3" xfId="52" xr:uid="{00000000-0005-0000-0000-000007000000}"/>
    <cellStyle name="20% - Accent3 4" xfId="53" xr:uid="{00000000-0005-0000-0000-000008000000}"/>
    <cellStyle name="20% - Accent4 2" xfId="54" xr:uid="{00000000-0005-0000-0000-000009000000}"/>
    <cellStyle name="20% - Accent4 3" xfId="55" xr:uid="{00000000-0005-0000-0000-00000A000000}"/>
    <cellStyle name="20% - Accent4 4" xfId="56" xr:uid="{00000000-0005-0000-0000-00000B000000}"/>
    <cellStyle name="20% - Accent5 2" xfId="57" xr:uid="{00000000-0005-0000-0000-00000C000000}"/>
    <cellStyle name="20% - Accent5 3" xfId="58" xr:uid="{00000000-0005-0000-0000-00000D000000}"/>
    <cellStyle name="20% - Accent5 4" xfId="59" xr:uid="{00000000-0005-0000-0000-00000E000000}"/>
    <cellStyle name="20% - Accent6 2" xfId="60" xr:uid="{00000000-0005-0000-0000-00000F000000}"/>
    <cellStyle name="20% - Accent6 3" xfId="61" xr:uid="{00000000-0005-0000-0000-000010000000}"/>
    <cellStyle name="20% - Accent6 4" xfId="62" xr:uid="{00000000-0005-0000-0000-000011000000}"/>
    <cellStyle name="40% - Accent1 2" xfId="63" xr:uid="{00000000-0005-0000-0000-000012000000}"/>
    <cellStyle name="40% - Accent1 3" xfId="64" xr:uid="{00000000-0005-0000-0000-000013000000}"/>
    <cellStyle name="40% - Accent1 4" xfId="65" xr:uid="{00000000-0005-0000-0000-000014000000}"/>
    <cellStyle name="40% - Accent2 2" xfId="66" xr:uid="{00000000-0005-0000-0000-000015000000}"/>
    <cellStyle name="40% - Accent2 3" xfId="67" xr:uid="{00000000-0005-0000-0000-000016000000}"/>
    <cellStyle name="40% - Accent2 4" xfId="68" xr:uid="{00000000-0005-0000-0000-000017000000}"/>
    <cellStyle name="40% - Accent3 2" xfId="69" xr:uid="{00000000-0005-0000-0000-000018000000}"/>
    <cellStyle name="40% - Accent3 3" xfId="70" xr:uid="{00000000-0005-0000-0000-000019000000}"/>
    <cellStyle name="40% - Accent3 4" xfId="71" xr:uid="{00000000-0005-0000-0000-00001A000000}"/>
    <cellStyle name="40% - Accent4 2" xfId="72" xr:uid="{00000000-0005-0000-0000-00001B000000}"/>
    <cellStyle name="40% - Accent4 3" xfId="73" xr:uid="{00000000-0005-0000-0000-00001C000000}"/>
    <cellStyle name="40% - Accent4 4" xfId="74" xr:uid="{00000000-0005-0000-0000-00001D000000}"/>
    <cellStyle name="40% - Accent5 2" xfId="75" xr:uid="{00000000-0005-0000-0000-00001E000000}"/>
    <cellStyle name="40% - Accent5 3" xfId="76" xr:uid="{00000000-0005-0000-0000-00001F000000}"/>
    <cellStyle name="40% - Accent5 4" xfId="77" xr:uid="{00000000-0005-0000-0000-000020000000}"/>
    <cellStyle name="40% - Accent6 2" xfId="78" xr:uid="{00000000-0005-0000-0000-000021000000}"/>
    <cellStyle name="40% - Accent6 3" xfId="79" xr:uid="{00000000-0005-0000-0000-000022000000}"/>
    <cellStyle name="40% - Accent6 4" xfId="80" xr:uid="{00000000-0005-0000-0000-000023000000}"/>
    <cellStyle name="60% - Accent1 2" xfId="81" xr:uid="{00000000-0005-0000-0000-000024000000}"/>
    <cellStyle name="60% - Accent1 3" xfId="82" xr:uid="{00000000-0005-0000-0000-000025000000}"/>
    <cellStyle name="60% - Accent2 2" xfId="83" xr:uid="{00000000-0005-0000-0000-000026000000}"/>
    <cellStyle name="60% - Accent2 3" xfId="84" xr:uid="{00000000-0005-0000-0000-000027000000}"/>
    <cellStyle name="60% - Accent3 2" xfId="85" xr:uid="{00000000-0005-0000-0000-000028000000}"/>
    <cellStyle name="60% - Accent3 3" xfId="86" xr:uid="{00000000-0005-0000-0000-000029000000}"/>
    <cellStyle name="60% - Accent4 2" xfId="87" xr:uid="{00000000-0005-0000-0000-00002A000000}"/>
    <cellStyle name="60% - Accent4 3" xfId="88" xr:uid="{00000000-0005-0000-0000-00002B000000}"/>
    <cellStyle name="60% - Accent5 2" xfId="89" xr:uid="{00000000-0005-0000-0000-00002C000000}"/>
    <cellStyle name="60% - Accent5 3" xfId="90" xr:uid="{00000000-0005-0000-0000-00002D000000}"/>
    <cellStyle name="60% - Accent6 2" xfId="91" xr:uid="{00000000-0005-0000-0000-00002E000000}"/>
    <cellStyle name="60% - Accent6 3" xfId="92" xr:uid="{00000000-0005-0000-0000-00002F000000}"/>
    <cellStyle name="Accent1 - 20%" xfId="93" xr:uid="{00000000-0005-0000-0000-000030000000}"/>
    <cellStyle name="Accent1 - 40%" xfId="94" xr:uid="{00000000-0005-0000-0000-000031000000}"/>
    <cellStyle name="Accent1 - 60%" xfId="95" xr:uid="{00000000-0005-0000-0000-000032000000}"/>
    <cellStyle name="Accent1 10" xfId="96" xr:uid="{00000000-0005-0000-0000-000033000000}"/>
    <cellStyle name="Accent1 11" xfId="97" xr:uid="{00000000-0005-0000-0000-000034000000}"/>
    <cellStyle name="Accent1 12" xfId="98" xr:uid="{00000000-0005-0000-0000-000035000000}"/>
    <cellStyle name="Accent1 2" xfId="99" xr:uid="{00000000-0005-0000-0000-000036000000}"/>
    <cellStyle name="Accent1 2 2" xfId="100" xr:uid="{00000000-0005-0000-0000-000037000000}"/>
    <cellStyle name="Accent1 3" xfId="101" xr:uid="{00000000-0005-0000-0000-000038000000}"/>
    <cellStyle name="Accent1 4" xfId="102" xr:uid="{00000000-0005-0000-0000-000039000000}"/>
    <cellStyle name="Accent1 5" xfId="103" xr:uid="{00000000-0005-0000-0000-00003A000000}"/>
    <cellStyle name="Accent1 6" xfId="104" xr:uid="{00000000-0005-0000-0000-00003B000000}"/>
    <cellStyle name="Accent1 7" xfId="105" xr:uid="{00000000-0005-0000-0000-00003C000000}"/>
    <cellStyle name="Accent1 8" xfId="106" xr:uid="{00000000-0005-0000-0000-00003D000000}"/>
    <cellStyle name="Accent1 9" xfId="107" xr:uid="{00000000-0005-0000-0000-00003E000000}"/>
    <cellStyle name="Accent2 - 20%" xfId="108" xr:uid="{00000000-0005-0000-0000-00003F000000}"/>
    <cellStyle name="Accent2 - 40%" xfId="109" xr:uid="{00000000-0005-0000-0000-000040000000}"/>
    <cellStyle name="Accent2 - 60%" xfId="110" xr:uid="{00000000-0005-0000-0000-000041000000}"/>
    <cellStyle name="Accent2 10" xfId="111" xr:uid="{00000000-0005-0000-0000-000042000000}"/>
    <cellStyle name="Accent2 11" xfId="112" xr:uid="{00000000-0005-0000-0000-000043000000}"/>
    <cellStyle name="Accent2 12" xfId="113" xr:uid="{00000000-0005-0000-0000-000044000000}"/>
    <cellStyle name="Accent2 2" xfId="114" xr:uid="{00000000-0005-0000-0000-000045000000}"/>
    <cellStyle name="Accent2 2 2" xfId="115" xr:uid="{00000000-0005-0000-0000-000046000000}"/>
    <cellStyle name="Accent2 3" xfId="116" xr:uid="{00000000-0005-0000-0000-000047000000}"/>
    <cellStyle name="Accent2 4" xfId="117" xr:uid="{00000000-0005-0000-0000-000048000000}"/>
    <cellStyle name="Accent2 5" xfId="118" xr:uid="{00000000-0005-0000-0000-000049000000}"/>
    <cellStyle name="Accent2 6" xfId="119" xr:uid="{00000000-0005-0000-0000-00004A000000}"/>
    <cellStyle name="Accent2 7" xfId="120" xr:uid="{00000000-0005-0000-0000-00004B000000}"/>
    <cellStyle name="Accent2 8" xfId="121" xr:uid="{00000000-0005-0000-0000-00004C000000}"/>
    <cellStyle name="Accent2 9" xfId="122" xr:uid="{00000000-0005-0000-0000-00004D000000}"/>
    <cellStyle name="Accent3 - 20%" xfId="123" xr:uid="{00000000-0005-0000-0000-00004E000000}"/>
    <cellStyle name="Accent3 - 40%" xfId="124" xr:uid="{00000000-0005-0000-0000-00004F000000}"/>
    <cellStyle name="Accent3 - 60%" xfId="125" xr:uid="{00000000-0005-0000-0000-000050000000}"/>
    <cellStyle name="Accent3 10" xfId="126" xr:uid="{00000000-0005-0000-0000-000051000000}"/>
    <cellStyle name="Accent3 11" xfId="127" xr:uid="{00000000-0005-0000-0000-000052000000}"/>
    <cellStyle name="Accent3 12" xfId="128" xr:uid="{00000000-0005-0000-0000-000053000000}"/>
    <cellStyle name="Accent3 2" xfId="129" xr:uid="{00000000-0005-0000-0000-000054000000}"/>
    <cellStyle name="Accent3 2 2" xfId="130" xr:uid="{00000000-0005-0000-0000-000055000000}"/>
    <cellStyle name="Accent3 3" xfId="131" xr:uid="{00000000-0005-0000-0000-000056000000}"/>
    <cellStyle name="Accent3 4" xfId="132" xr:uid="{00000000-0005-0000-0000-000057000000}"/>
    <cellStyle name="Accent3 5" xfId="133" xr:uid="{00000000-0005-0000-0000-000058000000}"/>
    <cellStyle name="Accent3 6" xfId="134" xr:uid="{00000000-0005-0000-0000-000059000000}"/>
    <cellStyle name="Accent3 7" xfId="135" xr:uid="{00000000-0005-0000-0000-00005A000000}"/>
    <cellStyle name="Accent3 8" xfId="136" xr:uid="{00000000-0005-0000-0000-00005B000000}"/>
    <cellStyle name="Accent3 9" xfId="137" xr:uid="{00000000-0005-0000-0000-00005C000000}"/>
    <cellStyle name="Accent4 - 20%" xfId="138" xr:uid="{00000000-0005-0000-0000-00005D000000}"/>
    <cellStyle name="Accent4 - 40%" xfId="139" xr:uid="{00000000-0005-0000-0000-00005E000000}"/>
    <cellStyle name="Accent4 - 60%" xfId="140" xr:uid="{00000000-0005-0000-0000-00005F000000}"/>
    <cellStyle name="Accent4 10" xfId="141" xr:uid="{00000000-0005-0000-0000-000060000000}"/>
    <cellStyle name="Accent4 11" xfId="142" xr:uid="{00000000-0005-0000-0000-000061000000}"/>
    <cellStyle name="Accent4 12" xfId="143" xr:uid="{00000000-0005-0000-0000-000062000000}"/>
    <cellStyle name="Accent4 2" xfId="144" xr:uid="{00000000-0005-0000-0000-000063000000}"/>
    <cellStyle name="Accent4 2 2" xfId="145" xr:uid="{00000000-0005-0000-0000-000064000000}"/>
    <cellStyle name="Accent4 3" xfId="146" xr:uid="{00000000-0005-0000-0000-000065000000}"/>
    <cellStyle name="Accent4 4" xfId="147" xr:uid="{00000000-0005-0000-0000-000066000000}"/>
    <cellStyle name="Accent4 5" xfId="148" xr:uid="{00000000-0005-0000-0000-000067000000}"/>
    <cellStyle name="Accent4 6" xfId="149" xr:uid="{00000000-0005-0000-0000-000068000000}"/>
    <cellStyle name="Accent4 7" xfId="150" xr:uid="{00000000-0005-0000-0000-000069000000}"/>
    <cellStyle name="Accent4 8" xfId="151" xr:uid="{00000000-0005-0000-0000-00006A000000}"/>
    <cellStyle name="Accent4 9" xfId="152" xr:uid="{00000000-0005-0000-0000-00006B000000}"/>
    <cellStyle name="Accent5 - 20%" xfId="153" xr:uid="{00000000-0005-0000-0000-00006C000000}"/>
    <cellStyle name="Accent5 - 40%" xfId="154" xr:uid="{00000000-0005-0000-0000-00006D000000}"/>
    <cellStyle name="Accent5 - 60%" xfId="155" xr:uid="{00000000-0005-0000-0000-00006E000000}"/>
    <cellStyle name="Accent5 10" xfId="156" xr:uid="{00000000-0005-0000-0000-00006F000000}"/>
    <cellStyle name="Accent5 11" xfId="157" xr:uid="{00000000-0005-0000-0000-000070000000}"/>
    <cellStyle name="Accent5 12" xfId="158" xr:uid="{00000000-0005-0000-0000-000071000000}"/>
    <cellStyle name="Accent5 2" xfId="159" xr:uid="{00000000-0005-0000-0000-000072000000}"/>
    <cellStyle name="Accent5 2 2" xfId="160" xr:uid="{00000000-0005-0000-0000-000073000000}"/>
    <cellStyle name="Accent5 3" xfId="161" xr:uid="{00000000-0005-0000-0000-000074000000}"/>
    <cellStyle name="Accent5 4" xfId="162" xr:uid="{00000000-0005-0000-0000-000075000000}"/>
    <cellStyle name="Accent5 5" xfId="163" xr:uid="{00000000-0005-0000-0000-000076000000}"/>
    <cellStyle name="Accent5 6" xfId="164" xr:uid="{00000000-0005-0000-0000-000077000000}"/>
    <cellStyle name="Accent5 7" xfId="165" xr:uid="{00000000-0005-0000-0000-000078000000}"/>
    <cellStyle name="Accent5 8" xfId="166" xr:uid="{00000000-0005-0000-0000-000079000000}"/>
    <cellStyle name="Accent5 9" xfId="167" xr:uid="{00000000-0005-0000-0000-00007A000000}"/>
    <cellStyle name="Accent6 - 20%" xfId="168" xr:uid="{00000000-0005-0000-0000-00007B000000}"/>
    <cellStyle name="Accent6 - 40%" xfId="169" xr:uid="{00000000-0005-0000-0000-00007C000000}"/>
    <cellStyle name="Accent6 - 60%" xfId="170" xr:uid="{00000000-0005-0000-0000-00007D000000}"/>
    <cellStyle name="Accent6 10" xfId="171" xr:uid="{00000000-0005-0000-0000-00007E000000}"/>
    <cellStyle name="Accent6 11" xfId="172" xr:uid="{00000000-0005-0000-0000-00007F000000}"/>
    <cellStyle name="Accent6 12" xfId="173" xr:uid="{00000000-0005-0000-0000-000080000000}"/>
    <cellStyle name="Accent6 2" xfId="174" xr:uid="{00000000-0005-0000-0000-000081000000}"/>
    <cellStyle name="Accent6 2 2" xfId="175" xr:uid="{00000000-0005-0000-0000-000082000000}"/>
    <cellStyle name="Accent6 3" xfId="176" xr:uid="{00000000-0005-0000-0000-000083000000}"/>
    <cellStyle name="Accent6 4" xfId="177" xr:uid="{00000000-0005-0000-0000-000084000000}"/>
    <cellStyle name="Accent6 5" xfId="178" xr:uid="{00000000-0005-0000-0000-000085000000}"/>
    <cellStyle name="Accent6 6" xfId="179" xr:uid="{00000000-0005-0000-0000-000086000000}"/>
    <cellStyle name="Accent6 7" xfId="180" xr:uid="{00000000-0005-0000-0000-000087000000}"/>
    <cellStyle name="Accent6 8" xfId="181" xr:uid="{00000000-0005-0000-0000-000088000000}"/>
    <cellStyle name="Accent6 9" xfId="182" xr:uid="{00000000-0005-0000-0000-000089000000}"/>
    <cellStyle name="Bad 2" xfId="183" xr:uid="{00000000-0005-0000-0000-00008A000000}"/>
    <cellStyle name="Bad 2 2" xfId="184" xr:uid="{00000000-0005-0000-0000-00008B000000}"/>
    <cellStyle name="Bad 3" xfId="185" xr:uid="{00000000-0005-0000-0000-00008C000000}"/>
    <cellStyle name="Calculation 2" xfId="186" xr:uid="{00000000-0005-0000-0000-00008D000000}"/>
    <cellStyle name="Calculation 2 2" xfId="187" xr:uid="{00000000-0005-0000-0000-00008E000000}"/>
    <cellStyle name="Calculation 3" xfId="188" xr:uid="{00000000-0005-0000-0000-00008F000000}"/>
    <cellStyle name="Check Cell 2" xfId="189" xr:uid="{00000000-0005-0000-0000-000090000000}"/>
    <cellStyle name="Check Cell 2 2" xfId="190" xr:uid="{00000000-0005-0000-0000-000091000000}"/>
    <cellStyle name="Check Cell 3" xfId="191" xr:uid="{00000000-0005-0000-0000-000092000000}"/>
    <cellStyle name="Comma" xfId="41" builtinId="3"/>
    <cellStyle name="Comma 10" xfId="427" xr:uid="{00000000-0005-0000-0000-000094000000}"/>
    <cellStyle name="Comma 2" xfId="2" xr:uid="{00000000-0005-0000-0000-000095000000}"/>
    <cellStyle name="Comma 2 2" xfId="192" xr:uid="{00000000-0005-0000-0000-000096000000}"/>
    <cellStyle name="Comma 3" xfId="193" xr:uid="{00000000-0005-0000-0000-000097000000}"/>
    <cellStyle name="Comma 3 2" xfId="194" xr:uid="{00000000-0005-0000-0000-000098000000}"/>
    <cellStyle name="Comma 4" xfId="195" xr:uid="{00000000-0005-0000-0000-000099000000}"/>
    <cellStyle name="Comma 5" xfId="196" xr:uid="{00000000-0005-0000-0000-00009A000000}"/>
    <cellStyle name="Comma 5 2" xfId="197" xr:uid="{00000000-0005-0000-0000-00009B000000}"/>
    <cellStyle name="Comma 5 2 2" xfId="198" xr:uid="{00000000-0005-0000-0000-00009C000000}"/>
    <cellStyle name="Comma 5 3" xfId="199" xr:uid="{00000000-0005-0000-0000-00009D000000}"/>
    <cellStyle name="Comma 5 3 2" xfId="200" xr:uid="{00000000-0005-0000-0000-00009E000000}"/>
    <cellStyle name="Comma 6" xfId="201" xr:uid="{00000000-0005-0000-0000-00009F000000}"/>
    <cellStyle name="Comma0" xfId="4" xr:uid="{00000000-0005-0000-0000-0000A0000000}"/>
    <cellStyle name="Comma0 - Style4" xfId="5" xr:uid="{00000000-0005-0000-0000-0000A1000000}"/>
    <cellStyle name="Comma1 - Style1" xfId="6" xr:uid="{00000000-0005-0000-0000-0000A2000000}"/>
    <cellStyle name="Curren - Style2" xfId="7" xr:uid="{00000000-0005-0000-0000-0000A3000000}"/>
    <cellStyle name="Currency" xfId="42" builtinId="4"/>
    <cellStyle name="Currency 2" xfId="3" xr:uid="{00000000-0005-0000-0000-0000A5000000}"/>
    <cellStyle name="Currency 2 2" xfId="202" xr:uid="{00000000-0005-0000-0000-0000A6000000}"/>
    <cellStyle name="Currency 3" xfId="203" xr:uid="{00000000-0005-0000-0000-0000A7000000}"/>
    <cellStyle name="Currency 4" xfId="204" xr:uid="{00000000-0005-0000-0000-0000A8000000}"/>
    <cellStyle name="Currency 4 2" xfId="205" xr:uid="{00000000-0005-0000-0000-0000A9000000}"/>
    <cellStyle name="Currency 4 2 2" xfId="206" xr:uid="{00000000-0005-0000-0000-0000AA000000}"/>
    <cellStyle name="Currency 4 3" xfId="207" xr:uid="{00000000-0005-0000-0000-0000AB000000}"/>
    <cellStyle name="Currency 4 3 2" xfId="208" xr:uid="{00000000-0005-0000-0000-0000AC000000}"/>
    <cellStyle name="Currency0" xfId="8" xr:uid="{00000000-0005-0000-0000-0000AD000000}"/>
    <cellStyle name="Date" xfId="9" xr:uid="{00000000-0005-0000-0000-0000AE000000}"/>
    <cellStyle name="Emphasis 1" xfId="209" xr:uid="{00000000-0005-0000-0000-0000AF000000}"/>
    <cellStyle name="Emphasis 2" xfId="210" xr:uid="{00000000-0005-0000-0000-0000B0000000}"/>
    <cellStyle name="Emphasis 3" xfId="211" xr:uid="{00000000-0005-0000-0000-0000B1000000}"/>
    <cellStyle name="Entered" xfId="10" xr:uid="{00000000-0005-0000-0000-0000B2000000}"/>
    <cellStyle name="Entered 2" xfId="212" xr:uid="{00000000-0005-0000-0000-0000B3000000}"/>
    <cellStyle name="Entered 3" xfId="213" xr:uid="{00000000-0005-0000-0000-0000B4000000}"/>
    <cellStyle name="Entered 4" xfId="214" xr:uid="{00000000-0005-0000-0000-0000B5000000}"/>
    <cellStyle name="Entered 4 2" xfId="215" xr:uid="{00000000-0005-0000-0000-0000B6000000}"/>
    <cellStyle name="Entered 5" xfId="216" xr:uid="{00000000-0005-0000-0000-0000B7000000}"/>
    <cellStyle name="Entered 5 2" xfId="217" xr:uid="{00000000-0005-0000-0000-0000B8000000}"/>
    <cellStyle name="Explanatory Text 2" xfId="218" xr:uid="{00000000-0005-0000-0000-0000B9000000}"/>
    <cellStyle name="Explanatory Text 3" xfId="219" xr:uid="{00000000-0005-0000-0000-0000BA000000}"/>
    <cellStyle name="Fixed" xfId="11" xr:uid="{00000000-0005-0000-0000-0000BB000000}"/>
    <cellStyle name="Good 2" xfId="220" xr:uid="{00000000-0005-0000-0000-0000BC000000}"/>
    <cellStyle name="Good 2 2" xfId="221" xr:uid="{00000000-0005-0000-0000-0000BD000000}"/>
    <cellStyle name="Good 3" xfId="222" xr:uid="{00000000-0005-0000-0000-0000BE000000}"/>
    <cellStyle name="Grey" xfId="12" xr:uid="{00000000-0005-0000-0000-0000BF000000}"/>
    <cellStyle name="Grey 2" xfId="223" xr:uid="{00000000-0005-0000-0000-0000C0000000}"/>
    <cellStyle name="Grey 2 2" xfId="224" xr:uid="{00000000-0005-0000-0000-0000C1000000}"/>
    <cellStyle name="Heading 1 2" xfId="225" xr:uid="{00000000-0005-0000-0000-0000C2000000}"/>
    <cellStyle name="Heading 1 2 2" xfId="226" xr:uid="{00000000-0005-0000-0000-0000C3000000}"/>
    <cellStyle name="Heading 1 3" xfId="227" xr:uid="{00000000-0005-0000-0000-0000C4000000}"/>
    <cellStyle name="Heading 2 2" xfId="228" xr:uid="{00000000-0005-0000-0000-0000C5000000}"/>
    <cellStyle name="Heading 2 2 2" xfId="229" xr:uid="{00000000-0005-0000-0000-0000C6000000}"/>
    <cellStyle name="Heading 2 3" xfId="230" xr:uid="{00000000-0005-0000-0000-0000C7000000}"/>
    <cellStyle name="Heading 3 2" xfId="231" xr:uid="{00000000-0005-0000-0000-0000C8000000}"/>
    <cellStyle name="Heading 3 2 2" xfId="232" xr:uid="{00000000-0005-0000-0000-0000C9000000}"/>
    <cellStyle name="Heading 3 3" xfId="233" xr:uid="{00000000-0005-0000-0000-0000CA000000}"/>
    <cellStyle name="Heading 4 2" xfId="234" xr:uid="{00000000-0005-0000-0000-0000CB000000}"/>
    <cellStyle name="Heading 4 2 2" xfId="235" xr:uid="{00000000-0005-0000-0000-0000CC000000}"/>
    <cellStyle name="Heading 4 3" xfId="236" xr:uid="{00000000-0005-0000-0000-0000CD000000}"/>
    <cellStyle name="Heading1" xfId="13" xr:uid="{00000000-0005-0000-0000-0000CE000000}"/>
    <cellStyle name="Heading2" xfId="14" xr:uid="{00000000-0005-0000-0000-0000CF000000}"/>
    <cellStyle name="Input [yellow]" xfId="15" xr:uid="{00000000-0005-0000-0000-0000D0000000}"/>
    <cellStyle name="Input [yellow] 2" xfId="237" xr:uid="{00000000-0005-0000-0000-0000D1000000}"/>
    <cellStyle name="Input [yellow] 2 2" xfId="238" xr:uid="{00000000-0005-0000-0000-0000D2000000}"/>
    <cellStyle name="Input 10" xfId="239" xr:uid="{00000000-0005-0000-0000-0000D3000000}"/>
    <cellStyle name="Input 11" xfId="240" xr:uid="{00000000-0005-0000-0000-0000D4000000}"/>
    <cellStyle name="Input 12" xfId="241" xr:uid="{00000000-0005-0000-0000-0000D5000000}"/>
    <cellStyle name="Input 2" xfId="242" xr:uid="{00000000-0005-0000-0000-0000D6000000}"/>
    <cellStyle name="Input 2 2" xfId="243" xr:uid="{00000000-0005-0000-0000-0000D7000000}"/>
    <cellStyle name="Input 3" xfId="244" xr:uid="{00000000-0005-0000-0000-0000D8000000}"/>
    <cellStyle name="Input 4" xfId="245" xr:uid="{00000000-0005-0000-0000-0000D9000000}"/>
    <cellStyle name="Input 5" xfId="246" xr:uid="{00000000-0005-0000-0000-0000DA000000}"/>
    <cellStyle name="Input 6" xfId="247" xr:uid="{00000000-0005-0000-0000-0000DB000000}"/>
    <cellStyle name="Input 7" xfId="248" xr:uid="{00000000-0005-0000-0000-0000DC000000}"/>
    <cellStyle name="Input 8" xfId="249" xr:uid="{00000000-0005-0000-0000-0000DD000000}"/>
    <cellStyle name="Input 9" xfId="250" xr:uid="{00000000-0005-0000-0000-0000DE000000}"/>
    <cellStyle name="Linked Cell 2" xfId="251" xr:uid="{00000000-0005-0000-0000-0000DF000000}"/>
    <cellStyle name="Linked Cell 2 2" xfId="252" xr:uid="{00000000-0005-0000-0000-0000E0000000}"/>
    <cellStyle name="Linked Cell 3" xfId="253" xr:uid="{00000000-0005-0000-0000-0000E1000000}"/>
    <cellStyle name="modified border" xfId="16" xr:uid="{00000000-0005-0000-0000-0000E2000000}"/>
    <cellStyle name="modified border1" xfId="17" xr:uid="{00000000-0005-0000-0000-0000E3000000}"/>
    <cellStyle name="Neutral 2" xfId="254" xr:uid="{00000000-0005-0000-0000-0000E4000000}"/>
    <cellStyle name="Neutral 2 2" xfId="255" xr:uid="{00000000-0005-0000-0000-0000E5000000}"/>
    <cellStyle name="Neutral 3" xfId="256" xr:uid="{00000000-0005-0000-0000-0000E6000000}"/>
    <cellStyle name="Normal" xfId="0" builtinId="0"/>
    <cellStyle name="Normal - Style1" xfId="18" xr:uid="{00000000-0005-0000-0000-0000E8000000}"/>
    <cellStyle name="Normal - Style1 5 4" xfId="425" xr:uid="{00000000-0005-0000-0000-0000E9000000}"/>
    <cellStyle name="Normal 10" xfId="257" xr:uid="{00000000-0005-0000-0000-0000EA000000}"/>
    <cellStyle name="Normal 10 2" xfId="258" xr:uid="{00000000-0005-0000-0000-0000EB000000}"/>
    <cellStyle name="Normal 10 2 2" xfId="259" xr:uid="{00000000-0005-0000-0000-0000EC000000}"/>
    <cellStyle name="Normal 101" xfId="260" xr:uid="{00000000-0005-0000-0000-0000ED000000}"/>
    <cellStyle name="Normal 11" xfId="261" xr:uid="{00000000-0005-0000-0000-0000EE000000}"/>
    <cellStyle name="Normal 12" xfId="262" xr:uid="{00000000-0005-0000-0000-0000EF000000}"/>
    <cellStyle name="Normal 13" xfId="263" xr:uid="{00000000-0005-0000-0000-0000F0000000}"/>
    <cellStyle name="Normal 14" xfId="264" xr:uid="{00000000-0005-0000-0000-0000F1000000}"/>
    <cellStyle name="Normal 15" xfId="265" xr:uid="{00000000-0005-0000-0000-0000F2000000}"/>
    <cellStyle name="Normal 16" xfId="266" xr:uid="{00000000-0005-0000-0000-0000F3000000}"/>
    <cellStyle name="Normal 17" xfId="267" xr:uid="{00000000-0005-0000-0000-0000F4000000}"/>
    <cellStyle name="Normal 18" xfId="268" xr:uid="{00000000-0005-0000-0000-0000F5000000}"/>
    <cellStyle name="Normal 19" xfId="269" xr:uid="{00000000-0005-0000-0000-0000F6000000}"/>
    <cellStyle name="Normal 2" xfId="1" xr:uid="{00000000-0005-0000-0000-0000F7000000}"/>
    <cellStyle name="Normal 2 2" xfId="270" xr:uid="{00000000-0005-0000-0000-0000F8000000}"/>
    <cellStyle name="Normal 20" xfId="271" xr:uid="{00000000-0005-0000-0000-0000F9000000}"/>
    <cellStyle name="Normal 21" xfId="272" xr:uid="{00000000-0005-0000-0000-0000FA000000}"/>
    <cellStyle name="Normal 22" xfId="273" xr:uid="{00000000-0005-0000-0000-0000FB000000}"/>
    <cellStyle name="Normal 23" xfId="274" xr:uid="{00000000-0005-0000-0000-0000FC000000}"/>
    <cellStyle name="Normal 24" xfId="275" xr:uid="{00000000-0005-0000-0000-0000FD000000}"/>
    <cellStyle name="Normal 25" xfId="276" xr:uid="{00000000-0005-0000-0000-0000FE000000}"/>
    <cellStyle name="Normal 26" xfId="277" xr:uid="{00000000-0005-0000-0000-0000FF000000}"/>
    <cellStyle name="Normal 27" xfId="278" xr:uid="{00000000-0005-0000-0000-000000010000}"/>
    <cellStyle name="Normal 28" xfId="279" xr:uid="{00000000-0005-0000-0000-000001010000}"/>
    <cellStyle name="Normal 29" xfId="280" xr:uid="{00000000-0005-0000-0000-000002010000}"/>
    <cellStyle name="Normal 3" xfId="44" xr:uid="{00000000-0005-0000-0000-000003010000}"/>
    <cellStyle name="Normal 30" xfId="281" xr:uid="{00000000-0005-0000-0000-000004010000}"/>
    <cellStyle name="Normal 31" xfId="282" xr:uid="{00000000-0005-0000-0000-000005010000}"/>
    <cellStyle name="Normal 32" xfId="283" xr:uid="{00000000-0005-0000-0000-000006010000}"/>
    <cellStyle name="Normal 33" xfId="284" xr:uid="{00000000-0005-0000-0000-000007010000}"/>
    <cellStyle name="Normal 34" xfId="285" xr:uid="{00000000-0005-0000-0000-000008010000}"/>
    <cellStyle name="Normal 35" xfId="286" xr:uid="{00000000-0005-0000-0000-000009010000}"/>
    <cellStyle name="Normal 36" xfId="287" xr:uid="{00000000-0005-0000-0000-00000A010000}"/>
    <cellStyle name="Normal 37" xfId="288" xr:uid="{00000000-0005-0000-0000-00000B010000}"/>
    <cellStyle name="Normal 38" xfId="289" xr:uid="{00000000-0005-0000-0000-00000C010000}"/>
    <cellStyle name="Normal 39" xfId="290" xr:uid="{00000000-0005-0000-0000-00000D010000}"/>
    <cellStyle name="Normal 4" xfId="291" xr:uid="{00000000-0005-0000-0000-00000E010000}"/>
    <cellStyle name="Normal 4 2" xfId="292" xr:uid="{00000000-0005-0000-0000-00000F010000}"/>
    <cellStyle name="Normal 40" xfId="293" xr:uid="{00000000-0005-0000-0000-000010010000}"/>
    <cellStyle name="Normal 41" xfId="294" xr:uid="{00000000-0005-0000-0000-000011010000}"/>
    <cellStyle name="Normal 42" xfId="295" xr:uid="{00000000-0005-0000-0000-000012010000}"/>
    <cellStyle name="Normal 43" xfId="296" xr:uid="{00000000-0005-0000-0000-000013010000}"/>
    <cellStyle name="Normal 5" xfId="297" xr:uid="{00000000-0005-0000-0000-000014010000}"/>
    <cellStyle name="Normal 5 2" xfId="298" xr:uid="{00000000-0005-0000-0000-000015010000}"/>
    <cellStyle name="Normal 6" xfId="299" xr:uid="{00000000-0005-0000-0000-000016010000}"/>
    <cellStyle name="Normal 6 2" xfId="300" xr:uid="{00000000-0005-0000-0000-000017010000}"/>
    <cellStyle name="Normal 7" xfId="301" xr:uid="{00000000-0005-0000-0000-000018010000}"/>
    <cellStyle name="Normal 8" xfId="302" xr:uid="{00000000-0005-0000-0000-000019010000}"/>
    <cellStyle name="Normal 8 6 8" xfId="426" xr:uid="{00000000-0005-0000-0000-00001A010000}"/>
    <cellStyle name="Normal 9" xfId="303" xr:uid="{00000000-0005-0000-0000-00001B010000}"/>
    <cellStyle name="Normal 9 2" xfId="304" xr:uid="{00000000-0005-0000-0000-00001C010000}"/>
    <cellStyle name="Normal 9 2 2" xfId="305" xr:uid="{00000000-0005-0000-0000-00001D010000}"/>
    <cellStyle name="Normal 9 3" xfId="306" xr:uid="{00000000-0005-0000-0000-00001E010000}"/>
    <cellStyle name="Normal 9 3 2" xfId="307" xr:uid="{00000000-0005-0000-0000-00001F010000}"/>
    <cellStyle name="Note 2" xfId="308" xr:uid="{00000000-0005-0000-0000-000020010000}"/>
    <cellStyle name="Note 2 2" xfId="309" xr:uid="{00000000-0005-0000-0000-000021010000}"/>
    <cellStyle name="Note 2 3" xfId="310" xr:uid="{00000000-0005-0000-0000-000022010000}"/>
    <cellStyle name="Note 3" xfId="311" xr:uid="{00000000-0005-0000-0000-000023010000}"/>
    <cellStyle name="Note 3 2" xfId="312" xr:uid="{00000000-0005-0000-0000-000024010000}"/>
    <cellStyle name="Note 4" xfId="313" xr:uid="{00000000-0005-0000-0000-000025010000}"/>
    <cellStyle name="Note 5" xfId="314" xr:uid="{00000000-0005-0000-0000-000026010000}"/>
    <cellStyle name="Note 5 2" xfId="315" xr:uid="{00000000-0005-0000-0000-000027010000}"/>
    <cellStyle name="Note 6" xfId="316" xr:uid="{00000000-0005-0000-0000-000028010000}"/>
    <cellStyle name="Note 7" xfId="317" xr:uid="{00000000-0005-0000-0000-000029010000}"/>
    <cellStyle name="Output 2" xfId="318" xr:uid="{00000000-0005-0000-0000-00002A010000}"/>
    <cellStyle name="Output 2 2" xfId="319" xr:uid="{00000000-0005-0000-0000-00002B010000}"/>
    <cellStyle name="Output 3" xfId="320" xr:uid="{00000000-0005-0000-0000-00002C010000}"/>
    <cellStyle name="Percen - Style2" xfId="19" xr:uid="{00000000-0005-0000-0000-00002D010000}"/>
    <cellStyle name="Percen - Style3" xfId="20" xr:uid="{00000000-0005-0000-0000-00002E010000}"/>
    <cellStyle name="Percent" xfId="43" builtinId="5"/>
    <cellStyle name="Percent [2]" xfId="21" xr:uid="{00000000-0005-0000-0000-000030010000}"/>
    <cellStyle name="Percent [2] 2" xfId="321" xr:uid="{00000000-0005-0000-0000-000031010000}"/>
    <cellStyle name="Percent [2] 2 2" xfId="322" xr:uid="{00000000-0005-0000-0000-000032010000}"/>
    <cellStyle name="Percent [2] 3" xfId="323" xr:uid="{00000000-0005-0000-0000-000033010000}"/>
    <cellStyle name="Percent [2] 3 2" xfId="324" xr:uid="{00000000-0005-0000-0000-000034010000}"/>
    <cellStyle name="Percent [2] 4" xfId="325" xr:uid="{00000000-0005-0000-0000-000035010000}"/>
    <cellStyle name="Percent [2] 4 2" xfId="326" xr:uid="{00000000-0005-0000-0000-000036010000}"/>
    <cellStyle name="Percent [2] 5" xfId="327" xr:uid="{00000000-0005-0000-0000-000037010000}"/>
    <cellStyle name="Percent [2] 5 2" xfId="328" xr:uid="{00000000-0005-0000-0000-000038010000}"/>
    <cellStyle name="Percent [2] 6" xfId="329" xr:uid="{00000000-0005-0000-0000-000039010000}"/>
    <cellStyle name="Percent [2] 6 2" xfId="330" xr:uid="{00000000-0005-0000-0000-00003A010000}"/>
    <cellStyle name="Percent 2" xfId="22" xr:uid="{00000000-0005-0000-0000-00003B010000}"/>
    <cellStyle name="Percent 2 2" xfId="331" xr:uid="{00000000-0005-0000-0000-00003C010000}"/>
    <cellStyle name="Percent 3" xfId="332" xr:uid="{00000000-0005-0000-0000-00003D010000}"/>
    <cellStyle name="Percent 3 2" xfId="333" xr:uid="{00000000-0005-0000-0000-00003E010000}"/>
    <cellStyle name="Percent 4" xfId="334" xr:uid="{00000000-0005-0000-0000-00003F010000}"/>
    <cellStyle name="Percent 4 2" xfId="335" xr:uid="{00000000-0005-0000-0000-000040010000}"/>
    <cellStyle name="Percent 5" xfId="336" xr:uid="{00000000-0005-0000-0000-000041010000}"/>
    <cellStyle name="Percent 6" xfId="337" xr:uid="{00000000-0005-0000-0000-000042010000}"/>
    <cellStyle name="Percent 7" xfId="338" xr:uid="{00000000-0005-0000-0000-000043010000}"/>
    <cellStyle name="Report" xfId="23" xr:uid="{00000000-0005-0000-0000-000044010000}"/>
    <cellStyle name="Report - Style5" xfId="24" xr:uid="{00000000-0005-0000-0000-000045010000}"/>
    <cellStyle name="Report - Style6" xfId="25" xr:uid="{00000000-0005-0000-0000-000046010000}"/>
    <cellStyle name="Report - Style7" xfId="26" xr:uid="{00000000-0005-0000-0000-000047010000}"/>
    <cellStyle name="Report - Style8" xfId="27" xr:uid="{00000000-0005-0000-0000-000048010000}"/>
    <cellStyle name="Report Bar" xfId="28" xr:uid="{00000000-0005-0000-0000-000049010000}"/>
    <cellStyle name="Report Heading" xfId="29" xr:uid="{00000000-0005-0000-0000-00004A010000}"/>
    <cellStyle name="Report Unit Cost" xfId="30" xr:uid="{00000000-0005-0000-0000-00004B010000}"/>
    <cellStyle name="Reports Total" xfId="31" xr:uid="{00000000-0005-0000-0000-00004C010000}"/>
    <cellStyle name="SAPBEXaggData" xfId="339" xr:uid="{00000000-0005-0000-0000-00004D010000}"/>
    <cellStyle name="SAPBEXaggDataEmph" xfId="340" xr:uid="{00000000-0005-0000-0000-00004E010000}"/>
    <cellStyle name="SAPBEXaggItem" xfId="341" xr:uid="{00000000-0005-0000-0000-00004F010000}"/>
    <cellStyle name="SAPBEXaggItemX" xfId="342" xr:uid="{00000000-0005-0000-0000-000050010000}"/>
    <cellStyle name="SAPBEXchaText" xfId="343" xr:uid="{00000000-0005-0000-0000-000051010000}"/>
    <cellStyle name="SAPBEXexcBad7" xfId="344" xr:uid="{00000000-0005-0000-0000-000052010000}"/>
    <cellStyle name="SAPBEXexcBad8" xfId="345" xr:uid="{00000000-0005-0000-0000-000053010000}"/>
    <cellStyle name="SAPBEXexcBad9" xfId="346" xr:uid="{00000000-0005-0000-0000-000054010000}"/>
    <cellStyle name="SAPBEXexcCritical4" xfId="347" xr:uid="{00000000-0005-0000-0000-000055010000}"/>
    <cellStyle name="SAPBEXexcCritical5" xfId="348" xr:uid="{00000000-0005-0000-0000-000056010000}"/>
    <cellStyle name="SAPBEXexcCritical6" xfId="349" xr:uid="{00000000-0005-0000-0000-000057010000}"/>
    <cellStyle name="SAPBEXexcGood1" xfId="350" xr:uid="{00000000-0005-0000-0000-000058010000}"/>
    <cellStyle name="SAPBEXexcGood2" xfId="351" xr:uid="{00000000-0005-0000-0000-000059010000}"/>
    <cellStyle name="SAPBEXexcGood3" xfId="352" xr:uid="{00000000-0005-0000-0000-00005A010000}"/>
    <cellStyle name="SAPBEXfilterDrill" xfId="353" xr:uid="{00000000-0005-0000-0000-00005B010000}"/>
    <cellStyle name="SAPBEXfilterItem" xfId="354" xr:uid="{00000000-0005-0000-0000-00005C010000}"/>
    <cellStyle name="SAPBEXfilterText" xfId="355" xr:uid="{00000000-0005-0000-0000-00005D010000}"/>
    <cellStyle name="SAPBEXformats" xfId="356" xr:uid="{00000000-0005-0000-0000-00005E010000}"/>
    <cellStyle name="SAPBEXheaderItem" xfId="357" xr:uid="{00000000-0005-0000-0000-00005F010000}"/>
    <cellStyle name="SAPBEXheaderItem 2" xfId="358" xr:uid="{00000000-0005-0000-0000-000060010000}"/>
    <cellStyle name="SAPBEXheaderItem 3" xfId="359" xr:uid="{00000000-0005-0000-0000-000061010000}"/>
    <cellStyle name="SAPBEXheaderText" xfId="360" xr:uid="{00000000-0005-0000-0000-000062010000}"/>
    <cellStyle name="SAPBEXheaderText 2" xfId="361" xr:uid="{00000000-0005-0000-0000-000063010000}"/>
    <cellStyle name="SAPBEXheaderText 3" xfId="362" xr:uid="{00000000-0005-0000-0000-000064010000}"/>
    <cellStyle name="SAPBEXHLevel0" xfId="363" xr:uid="{00000000-0005-0000-0000-000065010000}"/>
    <cellStyle name="SAPBEXHLevel0 2" xfId="364" xr:uid="{00000000-0005-0000-0000-000066010000}"/>
    <cellStyle name="SAPBEXHLevel0 2 2" xfId="365" xr:uid="{00000000-0005-0000-0000-000067010000}"/>
    <cellStyle name="SAPBEXHLevel0 3" xfId="366" xr:uid="{00000000-0005-0000-0000-000068010000}"/>
    <cellStyle name="SAPBEXHLevel0 3 2" xfId="367" xr:uid="{00000000-0005-0000-0000-000069010000}"/>
    <cellStyle name="SAPBEXHLevel0X" xfId="368" xr:uid="{00000000-0005-0000-0000-00006A010000}"/>
    <cellStyle name="SAPBEXHLevel0X 2" xfId="369" xr:uid="{00000000-0005-0000-0000-00006B010000}"/>
    <cellStyle name="SAPBEXHLevel0X 2 2" xfId="370" xr:uid="{00000000-0005-0000-0000-00006C010000}"/>
    <cellStyle name="SAPBEXHLevel0X 3" xfId="371" xr:uid="{00000000-0005-0000-0000-00006D010000}"/>
    <cellStyle name="SAPBEXHLevel0X 3 2" xfId="372" xr:uid="{00000000-0005-0000-0000-00006E010000}"/>
    <cellStyle name="SAPBEXHLevel1" xfId="373" xr:uid="{00000000-0005-0000-0000-00006F010000}"/>
    <cellStyle name="SAPBEXHLevel1 2" xfId="374" xr:uid="{00000000-0005-0000-0000-000070010000}"/>
    <cellStyle name="SAPBEXHLevel1 2 2" xfId="375" xr:uid="{00000000-0005-0000-0000-000071010000}"/>
    <cellStyle name="SAPBEXHLevel1 3" xfId="376" xr:uid="{00000000-0005-0000-0000-000072010000}"/>
    <cellStyle name="SAPBEXHLevel1 3 2" xfId="377" xr:uid="{00000000-0005-0000-0000-000073010000}"/>
    <cellStyle name="SAPBEXHLevel1X" xfId="378" xr:uid="{00000000-0005-0000-0000-000074010000}"/>
    <cellStyle name="SAPBEXHLevel1X 2" xfId="379" xr:uid="{00000000-0005-0000-0000-000075010000}"/>
    <cellStyle name="SAPBEXHLevel1X 2 2" xfId="380" xr:uid="{00000000-0005-0000-0000-000076010000}"/>
    <cellStyle name="SAPBEXHLevel1X 3" xfId="381" xr:uid="{00000000-0005-0000-0000-000077010000}"/>
    <cellStyle name="SAPBEXHLevel1X 3 2" xfId="382" xr:uid="{00000000-0005-0000-0000-000078010000}"/>
    <cellStyle name="SAPBEXHLevel2" xfId="383" xr:uid="{00000000-0005-0000-0000-000079010000}"/>
    <cellStyle name="SAPBEXHLevel2 2" xfId="384" xr:uid="{00000000-0005-0000-0000-00007A010000}"/>
    <cellStyle name="SAPBEXHLevel2 2 2" xfId="385" xr:uid="{00000000-0005-0000-0000-00007B010000}"/>
    <cellStyle name="SAPBEXHLevel2 3" xfId="386" xr:uid="{00000000-0005-0000-0000-00007C010000}"/>
    <cellStyle name="SAPBEXHLevel2 3 2" xfId="387" xr:uid="{00000000-0005-0000-0000-00007D010000}"/>
    <cellStyle name="SAPBEXHLevel2X" xfId="388" xr:uid="{00000000-0005-0000-0000-00007E010000}"/>
    <cellStyle name="SAPBEXHLevel2X 2" xfId="389" xr:uid="{00000000-0005-0000-0000-00007F010000}"/>
    <cellStyle name="SAPBEXHLevel2X 2 2" xfId="390" xr:uid="{00000000-0005-0000-0000-000080010000}"/>
    <cellStyle name="SAPBEXHLevel2X 3" xfId="391" xr:uid="{00000000-0005-0000-0000-000081010000}"/>
    <cellStyle name="SAPBEXHLevel2X 3 2" xfId="392" xr:uid="{00000000-0005-0000-0000-000082010000}"/>
    <cellStyle name="SAPBEXHLevel3" xfId="393" xr:uid="{00000000-0005-0000-0000-000083010000}"/>
    <cellStyle name="SAPBEXHLevel3 2" xfId="394" xr:uid="{00000000-0005-0000-0000-000084010000}"/>
    <cellStyle name="SAPBEXHLevel3 2 2" xfId="395" xr:uid="{00000000-0005-0000-0000-000085010000}"/>
    <cellStyle name="SAPBEXHLevel3 3" xfId="396" xr:uid="{00000000-0005-0000-0000-000086010000}"/>
    <cellStyle name="SAPBEXHLevel3 3 2" xfId="397" xr:uid="{00000000-0005-0000-0000-000087010000}"/>
    <cellStyle name="SAPBEXHLevel3X" xfId="398" xr:uid="{00000000-0005-0000-0000-000088010000}"/>
    <cellStyle name="SAPBEXHLevel3X 2" xfId="399" xr:uid="{00000000-0005-0000-0000-000089010000}"/>
    <cellStyle name="SAPBEXHLevel3X 2 2" xfId="400" xr:uid="{00000000-0005-0000-0000-00008A010000}"/>
    <cellStyle name="SAPBEXHLevel3X 3" xfId="401" xr:uid="{00000000-0005-0000-0000-00008B010000}"/>
    <cellStyle name="SAPBEXHLevel3X 3 2" xfId="402" xr:uid="{00000000-0005-0000-0000-00008C010000}"/>
    <cellStyle name="SAPBEXinputData" xfId="403" xr:uid="{00000000-0005-0000-0000-00008D010000}"/>
    <cellStyle name="SAPBEXinputData 2" xfId="404" xr:uid="{00000000-0005-0000-0000-00008E010000}"/>
    <cellStyle name="SAPBEXinputData 2 2" xfId="405" xr:uid="{00000000-0005-0000-0000-00008F010000}"/>
    <cellStyle name="SAPBEXinputData 3" xfId="406" xr:uid="{00000000-0005-0000-0000-000090010000}"/>
    <cellStyle name="SAPBEXinputData 3 2" xfId="407" xr:uid="{00000000-0005-0000-0000-000091010000}"/>
    <cellStyle name="SAPBEXresData" xfId="408" xr:uid="{00000000-0005-0000-0000-000092010000}"/>
    <cellStyle name="SAPBEXresDataEmph" xfId="409" xr:uid="{00000000-0005-0000-0000-000093010000}"/>
    <cellStyle name="SAPBEXresItem" xfId="410" xr:uid="{00000000-0005-0000-0000-000094010000}"/>
    <cellStyle name="SAPBEXresItemX" xfId="411" xr:uid="{00000000-0005-0000-0000-000095010000}"/>
    <cellStyle name="SAPBEXstdData" xfId="412" xr:uid="{00000000-0005-0000-0000-000096010000}"/>
    <cellStyle name="SAPBEXstdDataEmph" xfId="413" xr:uid="{00000000-0005-0000-0000-000097010000}"/>
    <cellStyle name="SAPBEXstdItem" xfId="414" xr:uid="{00000000-0005-0000-0000-000098010000}"/>
    <cellStyle name="SAPBEXstdItemX" xfId="415" xr:uid="{00000000-0005-0000-0000-000099010000}"/>
    <cellStyle name="SAPBEXtitle" xfId="416" xr:uid="{00000000-0005-0000-0000-00009A010000}"/>
    <cellStyle name="SAPBEXundefined" xfId="417" xr:uid="{00000000-0005-0000-0000-00009B010000}"/>
    <cellStyle name="Sheet Title" xfId="418" xr:uid="{00000000-0005-0000-0000-00009C010000}"/>
    <cellStyle name="StmtTtl1" xfId="32" xr:uid="{00000000-0005-0000-0000-00009D010000}"/>
    <cellStyle name="StmtTtl2" xfId="33" xr:uid="{00000000-0005-0000-0000-00009E010000}"/>
    <cellStyle name="Style 1" xfId="34" xr:uid="{00000000-0005-0000-0000-00009F010000}"/>
    <cellStyle name="Test" xfId="35" xr:uid="{00000000-0005-0000-0000-0000A0010000}"/>
    <cellStyle name="Title 2" xfId="419" xr:uid="{00000000-0005-0000-0000-0000A1010000}"/>
    <cellStyle name="Title: - Style3" xfId="36" xr:uid="{00000000-0005-0000-0000-0000A2010000}"/>
    <cellStyle name="Title: - Style4" xfId="37" xr:uid="{00000000-0005-0000-0000-0000A3010000}"/>
    <cellStyle name="Title: Major" xfId="38" xr:uid="{00000000-0005-0000-0000-0000A4010000}"/>
    <cellStyle name="Title: Minor" xfId="39" xr:uid="{00000000-0005-0000-0000-0000A5010000}"/>
    <cellStyle name="Title: Worksheet" xfId="40" xr:uid="{00000000-0005-0000-0000-0000A6010000}"/>
    <cellStyle name="Total 2" xfId="420" xr:uid="{00000000-0005-0000-0000-0000A7010000}"/>
    <cellStyle name="Total 2 2" xfId="421" xr:uid="{00000000-0005-0000-0000-0000A8010000}"/>
    <cellStyle name="Total 3" xfId="422" xr:uid="{00000000-0005-0000-0000-0000A9010000}"/>
    <cellStyle name="Warning Text 2" xfId="423" xr:uid="{00000000-0005-0000-0000-0000AA010000}"/>
    <cellStyle name="Warning Text 3" xfId="424" xr:uid="{00000000-0005-0000-0000-0000AB010000}"/>
  </cellStyles>
  <dxfs count="0"/>
  <tableStyles count="0" defaultTableStyle="TableStyleMedium9" defaultPivotStyle="PivotStyleLight16"/>
  <colors>
    <mruColors>
      <color rgb="FF008080"/>
      <color rgb="FF0000FF"/>
      <color rgb="FF00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36</xdr:row>
      <xdr:rowOff>94331</xdr:rowOff>
    </xdr:from>
    <xdr:to>
      <xdr:col>4</xdr:col>
      <xdr:colOff>591207</xdr:colOff>
      <xdr:row>61</xdr:row>
      <xdr:rowOff>182930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88814"/>
          <a:ext cx="8627241" cy="5015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4Home/JDyer/Unbilled%20Reasonableness/04-2013%20Gas%20Reasonablene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2Inputs/General%20Accounting/Journal%20Entries/JE143-Electric_Unbilled_Revenue_Current_&amp;_Reverse_Prior_mo/2012%20JE143/02-2012/02-12%20Elec_Unb%20(93.1%25%207%20months)%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Reasonableness"/>
      <sheetName val="Rate Change"/>
      <sheetName val="Unbilled Days"/>
      <sheetName val="Mix Variance"/>
      <sheetName val="Send Out Chg"/>
    </sheetNames>
    <sheetDataSet>
      <sheetData sheetId="0" refreshError="1"/>
      <sheetData sheetId="1"/>
      <sheetData sheetId="2"/>
      <sheetData sheetId="3">
        <row r="5">
          <cell r="O5" t="str">
            <v>a</v>
          </cell>
          <cell r="P5">
            <v>44.27363905</v>
          </cell>
          <cell r="Q5" t="str">
            <v>Current unbilled</v>
          </cell>
        </row>
        <row r="6">
          <cell r="O6" t="str">
            <v>b</v>
          </cell>
          <cell r="P6">
            <v>43.087575119999997</v>
          </cell>
          <cell r="Q6" t="str">
            <v>Last year unbilled</v>
          </cell>
        </row>
        <row r="7">
          <cell r="O7" t="str">
            <v>c</v>
          </cell>
          <cell r="P7">
            <v>1.1860639300000031</v>
          </cell>
          <cell r="Q7" t="str">
            <v>Difference of unbilled</v>
          </cell>
        </row>
        <row r="8">
          <cell r="O8" t="str">
            <v>d</v>
          </cell>
          <cell r="P8">
            <v>2.752682012614506E-2</v>
          </cell>
          <cell r="Q8" t="str">
            <v>Percent Increase (Decrease)</v>
          </cell>
        </row>
        <row r="9">
          <cell r="O9" t="str">
            <v>e</v>
          </cell>
          <cell r="P9">
            <v>33856199.878826872</v>
          </cell>
          <cell r="Q9" t="str">
            <v>Current month Firm &amp; Int</v>
          </cell>
        </row>
        <row r="10">
          <cell r="P10">
            <v>0</v>
          </cell>
        </row>
        <row r="11">
          <cell r="P11">
            <v>0</v>
          </cell>
        </row>
        <row r="12">
          <cell r="O12" t="str">
            <v>f</v>
          </cell>
          <cell r="P12">
            <v>35052259.916658685</v>
          </cell>
          <cell r="Q12" t="str">
            <v>Last Year Firm * Int</v>
          </cell>
        </row>
        <row r="13">
          <cell r="O13" t="str">
            <v>g</v>
          </cell>
          <cell r="P13">
            <v>-1196060.0378318131</v>
          </cell>
          <cell r="Q13" t="str">
            <v>Firm &amp; Int Increase (Decrease)</v>
          </cell>
        </row>
        <row r="14">
          <cell r="O14" t="str">
            <v>h</v>
          </cell>
          <cell r="P14">
            <v>-3.4122194708004608E-2</v>
          </cell>
          <cell r="Q14" t="str">
            <v>Percent Increase (Decrease)</v>
          </cell>
        </row>
        <row r="15">
          <cell r="O15" t="str">
            <v>I</v>
          </cell>
          <cell r="P15">
            <v>0.59072392471296309</v>
          </cell>
          <cell r="Q15" t="str">
            <v>Firm percent of total sales</v>
          </cell>
        </row>
        <row r="16">
          <cell r="O16" t="str">
            <v>j</v>
          </cell>
          <cell r="P16">
            <v>52.883165615826876</v>
          </cell>
          <cell r="Q16" t="str">
            <v>volume of firm total sales</v>
          </cell>
        </row>
        <row r="17">
          <cell r="O17" t="str">
            <v>k</v>
          </cell>
          <cell r="P17">
            <v>0.61477972425334715</v>
          </cell>
          <cell r="Q17" t="str">
            <v>Last year firm percent of total sales</v>
          </cell>
        </row>
        <row r="18">
          <cell r="O18" t="str">
            <v>l</v>
          </cell>
          <cell r="P18">
            <v>54.314980686658679</v>
          </cell>
          <cell r="Q18" t="str">
            <v>Last year volume of firm total sales</v>
          </cell>
        </row>
        <row r="19">
          <cell r="O19" t="str">
            <v>m</v>
          </cell>
          <cell r="P19">
            <v>1.3158280404336364</v>
          </cell>
          <cell r="Q19" t="str">
            <v>Current monthFirm Sales price per therm</v>
          </cell>
        </row>
        <row r="20">
          <cell r="O20" t="str">
            <v>n</v>
          </cell>
          <cell r="P20">
            <v>1.2211627834751595</v>
          </cell>
          <cell r="Q20" t="str">
            <v>Last year Firm Sales price per therm</v>
          </cell>
        </row>
        <row r="21">
          <cell r="O21" t="str">
            <v>o</v>
          </cell>
          <cell r="P21">
            <v>7.7520587950674791E-2</v>
          </cell>
        </row>
        <row r="22">
          <cell r="O22" t="str">
            <v>p</v>
          </cell>
          <cell r="P22">
            <v>0.71121273656652528</v>
          </cell>
          <cell r="Q22" t="str">
            <v>Current month Int Sales price per therm</v>
          </cell>
        </row>
        <row r="23">
          <cell r="O23" t="str">
            <v>q</v>
          </cell>
          <cell r="P23">
            <v>0.62494071279774621</v>
          </cell>
          <cell r="Q23" t="str">
            <v>Last year Int Sales price per therm</v>
          </cell>
        </row>
        <row r="24">
          <cell r="P24">
            <v>0.13804833322917123</v>
          </cell>
          <cell r="Q24" t="str">
            <v>Total increase in Sales price per therm</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Rider Rsbl"/>
      <sheetName val="Loss Factor"/>
      <sheetName val="Sch120Rsbl"/>
      <sheetName val="Sch_120"/>
      <sheetName val="Sch120Read"/>
      <sheetName val="Sch95Rsbl"/>
      <sheetName val="Bs Unbl Rt"/>
      <sheetName val="GPI (2)"/>
      <sheetName val="GPI"/>
      <sheetName val="CY GPI Allocation"/>
      <sheetName val="PY GPI Allocation"/>
      <sheetName val="Pended"/>
      <sheetName val="Target KWHs"/>
      <sheetName val="KWH Rsbl"/>
      <sheetName val="Billing Loss"/>
      <sheetName val="Historical"/>
      <sheetName val="Sch_194"/>
      <sheetName val="Sch194KWHs"/>
      <sheetName val="RateInc"/>
      <sheetName val="2-03 Rd Schd"/>
      <sheetName val="Page 1"/>
      <sheetName val="UnbDays"/>
      <sheetName val="Sch94Read"/>
      <sheetName val="Sch94Read0408"/>
      <sheetName val="Sch194 Rlfwd"/>
      <sheetName val="Sch_194Rsbl"/>
      <sheetName val="Sch_95A"/>
      <sheetName val="Sch95Read"/>
      <sheetName val="Sch_132"/>
      <sheetName val="Sch132Rsbl"/>
      <sheetName val="Sch132Read"/>
      <sheetName val="Sch_133"/>
      <sheetName val="Sch133Read"/>
      <sheetName val="Sch_137"/>
      <sheetName val="Sch137Read"/>
      <sheetName val="Unbilled Revenue"/>
      <sheetName val="Billed KWHs"/>
      <sheetName val="APUA"/>
      <sheetName val="UnbLowIncJE"/>
      <sheetName val="UnbLowInc Rsbl"/>
      <sheetName val="Unbilled Days elec"/>
      <sheetName val="Unbilled Days elec (2)"/>
      <sheetName val="JE #s"/>
      <sheetName val="INPUT TAB 2011"/>
      <sheetName val="INPUT TAB 2010"/>
      <sheetName val="INPUT TAB 2009"/>
      <sheetName val="INPUT TAB 2008"/>
      <sheetName val="INPUT TAB 2007"/>
      <sheetName val="INPUT TAB 2006"/>
      <sheetName val="INPUT TAB 2005"/>
      <sheetName val="Module1"/>
    </sheetNames>
    <sheetDataSet>
      <sheetData sheetId="0"/>
      <sheetData sheetId="1"/>
      <sheetData sheetId="2"/>
      <sheetData sheetId="3">
        <row r="10">
          <cell r="L10">
            <v>853377517</v>
          </cell>
        </row>
      </sheetData>
      <sheetData sheetId="4"/>
      <sheetData sheetId="5"/>
      <sheetData sheetId="6"/>
      <sheetData sheetId="7"/>
      <sheetData sheetId="8">
        <row r="21">
          <cell r="I21">
            <v>4727703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31">
          <cell r="M31">
            <v>-6.7850000000000002E-3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5:C20"/>
  <sheetViews>
    <sheetView view="pageLayout" zoomScale="65" zoomScaleNormal="58" zoomScalePageLayoutView="65" workbookViewId="0">
      <selection activeCell="I68" sqref="I68"/>
    </sheetView>
  </sheetViews>
  <sheetFormatPr baseColWidth="10" defaultColWidth="8.83203125" defaultRowHeight="15"/>
  <cols>
    <col min="1" max="1" width="36.6640625" bestFit="1" customWidth="1"/>
    <col min="2" max="2" width="28.33203125" customWidth="1"/>
    <col min="3" max="3" width="29" customWidth="1"/>
    <col min="4" max="4" width="11.33203125" customWidth="1"/>
    <col min="5" max="5" width="8" customWidth="1"/>
  </cols>
  <sheetData>
    <row r="5" spans="1:3">
      <c r="A5" s="484" t="s">
        <v>0</v>
      </c>
      <c r="B5" s="486" t="s">
        <v>1</v>
      </c>
      <c r="C5" s="486" t="s">
        <v>2</v>
      </c>
    </row>
    <row r="6" spans="1:3">
      <c r="A6" t="s">
        <v>3</v>
      </c>
      <c r="C6" s="482">
        <v>10.29</v>
      </c>
    </row>
    <row r="7" spans="1:3">
      <c r="A7" t="s">
        <v>4</v>
      </c>
      <c r="C7" s="483">
        <v>12</v>
      </c>
    </row>
    <row r="8" spans="1:3">
      <c r="A8" t="s">
        <v>5</v>
      </c>
      <c r="C8" s="491">
        <f>C6*C7</f>
        <v>123.47999999999999</v>
      </c>
    </row>
    <row r="10" spans="1:3">
      <c r="A10" t="s">
        <v>6</v>
      </c>
      <c r="B10" s="492">
        <f>'JPG-5'!$P$34</f>
        <v>326.59000000000003</v>
      </c>
      <c r="C10" s="492">
        <f>'JPG-5'!$P$34</f>
        <v>326.59000000000003</v>
      </c>
    </row>
    <row r="12" spans="1:3" ht="16" thickBot="1">
      <c r="A12" s="490" t="s">
        <v>7</v>
      </c>
      <c r="B12" s="487">
        <f>B8+B10</f>
        <v>326.59000000000003</v>
      </c>
      <c r="C12" s="487">
        <f>C8+C10</f>
        <v>450.07000000000005</v>
      </c>
    </row>
    <row r="13" spans="1:3" ht="16" thickTop="1"/>
    <row r="14" spans="1:3">
      <c r="A14" t="s">
        <v>8</v>
      </c>
      <c r="B14" s="541">
        <f>Return</f>
        <v>0.1077</v>
      </c>
      <c r="C14" s="541">
        <f>Return</f>
        <v>0.1077</v>
      </c>
    </row>
    <row r="16" spans="1:3" ht="16" thickBot="1">
      <c r="A16" s="489" t="s">
        <v>9</v>
      </c>
      <c r="B16" s="488">
        <f>B12/B14</f>
        <v>3032.4048282265553</v>
      </c>
      <c r="C16" s="488">
        <f>C12/C14</f>
        <v>4178.9229340761376</v>
      </c>
    </row>
    <row r="18" spans="1:3">
      <c r="A18" t="s">
        <v>10</v>
      </c>
      <c r="B18" s="483">
        <f>'Rate Change Calc'!D16/'JPG-4'!D12</f>
        <v>795.46988480932009</v>
      </c>
      <c r="C18" s="483">
        <f>B18</f>
        <v>795.46988480932009</v>
      </c>
    </row>
    <row r="19" spans="1:3">
      <c r="B19" s="551"/>
    </row>
    <row r="20" spans="1:3" ht="16" thickBot="1">
      <c r="A20" s="489" t="s">
        <v>11</v>
      </c>
      <c r="B20" s="488">
        <f>ROUND(B16/B18,2)</f>
        <v>3.81</v>
      </c>
      <c r="C20" s="488">
        <f>ROUND(C16/C18,2)</f>
        <v>5.25</v>
      </c>
    </row>
  </sheetData>
  <pageMargins left="0.7" right="0.7" top="0.75" bottom="0.75" header="0.3" footer="0.3"/>
  <pageSetup fitToWidth="0" fitToHeight="0" orientation="landscape" horizontalDpi="0" verticalDpi="0"/>
  <headerFooter>
    <oddHeader xml:space="preserve">&amp;R&amp;"Times New Roman,Regular"&amp;12Exh. AEW-02&amp;"-,Regular"&amp;11
</oddHeader>
    <oddFooter xml:space="preserve">&amp;L&amp;"Calibri (Body)_x0000_,Regular"&amp;12Tab: &amp;A&amp;R&amp;"Times New Roman,Regular"&amp;12Page &amp;P of &amp;N </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X106"/>
  <sheetViews>
    <sheetView zoomScale="50" workbookViewId="0">
      <selection activeCell="I68" sqref="I68"/>
    </sheetView>
  </sheetViews>
  <sheetFormatPr baseColWidth="10" defaultColWidth="9.1640625" defaultRowHeight="15" customHeight="1"/>
  <cols>
    <col min="1" max="1" width="5.5" style="322" bestFit="1" customWidth="1"/>
    <col min="2" max="2" width="3.33203125" style="326" customWidth="1"/>
    <col min="3" max="3" width="46.5" style="23" customWidth="1"/>
    <col min="4" max="4" width="9.83203125" style="23" bestFit="1" customWidth="1"/>
    <col min="5" max="5" width="16.5" style="23" customWidth="1"/>
    <col min="6" max="6" width="2.5" style="326" customWidth="1"/>
    <col min="7" max="7" width="13.6640625" style="326" customWidth="1"/>
    <col min="8" max="8" width="2.5" style="326" customWidth="1"/>
    <col min="9" max="9" width="15.83203125" style="326" bestFit="1" customWidth="1"/>
    <col min="10" max="10" width="2.5" style="326" customWidth="1"/>
    <col min="11" max="11" width="14.83203125" style="326" bestFit="1" customWidth="1"/>
    <col min="12" max="12" width="9.1640625" style="326" customWidth="1"/>
    <col min="13" max="13" width="10.33203125" style="326" bestFit="1" customWidth="1"/>
    <col min="14" max="14" width="11.6640625" style="326" bestFit="1" customWidth="1"/>
    <col min="15" max="15" width="12.1640625" style="326" bestFit="1" customWidth="1"/>
    <col min="16" max="16384" width="9.1640625" style="326"/>
  </cols>
  <sheetData>
    <row r="1" spans="1:24" ht="15" customHeight="1">
      <c r="B1" s="617" t="s">
        <v>22</v>
      </c>
      <c r="C1" s="622"/>
      <c r="D1" s="622"/>
      <c r="E1" s="622"/>
      <c r="F1" s="622"/>
      <c r="G1" s="622"/>
      <c r="H1" s="622"/>
      <c r="I1" s="622"/>
      <c r="J1" s="622"/>
      <c r="K1" s="622"/>
      <c r="L1" s="323"/>
      <c r="M1" s="324"/>
      <c r="N1" s="324"/>
      <c r="O1" s="325"/>
      <c r="P1" s="324"/>
      <c r="Q1" s="324"/>
      <c r="R1" s="324"/>
      <c r="S1" s="324"/>
      <c r="T1" s="324"/>
      <c r="U1" s="324"/>
    </row>
    <row r="2" spans="1:24" ht="15" customHeight="1">
      <c r="B2" s="619" t="str">
        <f>'Rate Change Calc'!A2</f>
        <v>2016 Gas Decoupling Filing</v>
      </c>
      <c r="C2" s="619"/>
      <c r="D2" s="619"/>
      <c r="E2" s="619"/>
      <c r="F2" s="619"/>
      <c r="G2" s="619"/>
      <c r="H2" s="619"/>
      <c r="I2" s="619"/>
      <c r="J2" s="619"/>
      <c r="K2" s="619"/>
      <c r="L2" s="323"/>
      <c r="M2" s="324"/>
      <c r="N2" s="324"/>
      <c r="O2" s="325"/>
      <c r="P2" s="324"/>
      <c r="Q2" s="324"/>
      <c r="R2" s="324"/>
      <c r="S2" s="324"/>
      <c r="T2" s="324"/>
      <c r="U2" s="324"/>
    </row>
    <row r="3" spans="1:24" ht="15" customHeight="1">
      <c r="B3" s="617" t="s">
        <v>167</v>
      </c>
      <c r="C3" s="622"/>
      <c r="D3" s="622"/>
      <c r="E3" s="622"/>
      <c r="F3" s="622"/>
      <c r="G3" s="622"/>
      <c r="H3" s="622"/>
      <c r="I3" s="622"/>
      <c r="J3" s="622"/>
      <c r="K3" s="622"/>
      <c r="L3" s="323"/>
      <c r="M3" s="327"/>
      <c r="N3" s="324"/>
      <c r="O3" s="325"/>
      <c r="P3" s="324"/>
      <c r="Q3" s="324"/>
      <c r="R3" s="324"/>
      <c r="S3" s="324"/>
      <c r="T3" s="324"/>
      <c r="U3" s="324"/>
    </row>
    <row r="4" spans="1:24" ht="15" customHeight="1">
      <c r="B4" s="619" t="str">
        <f>'Rate Change Calc'!A4</f>
        <v>Proposed Effective May 1, 2016</v>
      </c>
      <c r="C4" s="623"/>
      <c r="D4" s="623"/>
      <c r="E4" s="623"/>
      <c r="F4" s="623"/>
      <c r="G4" s="623"/>
      <c r="H4" s="623"/>
      <c r="I4" s="623"/>
      <c r="J4" s="623"/>
      <c r="K4" s="623"/>
      <c r="L4" s="328"/>
      <c r="M4" s="329"/>
      <c r="N4" s="329"/>
      <c r="O4" s="330"/>
      <c r="P4" s="329"/>
      <c r="Q4" s="329"/>
      <c r="R4" s="329"/>
      <c r="S4" s="329"/>
      <c r="T4" s="329"/>
      <c r="U4" s="329"/>
      <c r="V4" s="331"/>
      <c r="W4" s="331"/>
      <c r="X4" s="331"/>
    </row>
    <row r="5" spans="1:24" ht="15" customHeight="1">
      <c r="B5" s="332"/>
      <c r="C5" s="332"/>
      <c r="D5" s="332"/>
      <c r="E5" s="332"/>
      <c r="F5" s="333"/>
      <c r="G5" s="333"/>
      <c r="H5" s="333"/>
      <c r="I5" s="333"/>
      <c r="J5" s="333"/>
      <c r="K5" s="328"/>
      <c r="L5" s="328"/>
      <c r="M5" s="329"/>
      <c r="N5" s="329"/>
      <c r="O5" s="330"/>
      <c r="P5" s="329"/>
      <c r="Q5" s="329"/>
      <c r="R5" s="329"/>
      <c r="S5" s="329"/>
      <c r="T5" s="329"/>
      <c r="U5" s="329"/>
      <c r="V5" s="331"/>
      <c r="W5" s="331"/>
      <c r="X5" s="331"/>
    </row>
    <row r="6" spans="1:24" ht="15" customHeight="1">
      <c r="A6" s="594" t="s">
        <v>168</v>
      </c>
      <c r="C6" s="31"/>
      <c r="D6" s="31"/>
      <c r="E6" s="443" t="s">
        <v>139</v>
      </c>
      <c r="F6" s="30"/>
      <c r="G6" s="29" t="s">
        <v>169</v>
      </c>
      <c r="H6" s="29"/>
      <c r="I6" s="443" t="s">
        <v>170</v>
      </c>
      <c r="J6" s="324"/>
      <c r="K6" s="31" t="s">
        <v>171</v>
      </c>
      <c r="L6" s="31"/>
      <c r="M6" s="324"/>
      <c r="N6" s="324"/>
      <c r="O6" s="324"/>
      <c r="P6" s="324"/>
      <c r="Q6" s="324"/>
      <c r="R6" s="324"/>
      <c r="S6" s="324"/>
      <c r="T6" s="324"/>
      <c r="U6" s="324"/>
    </row>
    <row r="7" spans="1:24" ht="15" customHeight="1">
      <c r="A7" s="289" t="s">
        <v>172</v>
      </c>
      <c r="B7" s="27"/>
      <c r="C7" s="26"/>
      <c r="D7" s="26" t="s">
        <v>173</v>
      </c>
      <c r="E7" s="26" t="s">
        <v>174</v>
      </c>
      <c r="F7" s="25"/>
      <c r="G7" s="24" t="s">
        <v>175</v>
      </c>
      <c r="H7" s="29"/>
      <c r="I7" s="599" t="s">
        <v>176</v>
      </c>
      <c r="J7" s="324"/>
      <c r="K7" s="26" t="s">
        <v>177</v>
      </c>
      <c r="L7" s="31"/>
      <c r="M7" s="422"/>
      <c r="N7" s="422"/>
      <c r="O7" s="327"/>
      <c r="P7" s="324"/>
      <c r="Q7" s="324"/>
      <c r="R7" s="324"/>
      <c r="S7" s="324"/>
      <c r="T7" s="324"/>
      <c r="U7" s="324"/>
    </row>
    <row r="8" spans="1:24" ht="15" customHeight="1">
      <c r="A8" s="170"/>
      <c r="B8" s="23"/>
      <c r="C8" s="31" t="s">
        <v>30</v>
      </c>
      <c r="D8" s="31" t="s">
        <v>31</v>
      </c>
      <c r="E8" s="31" t="s">
        <v>32</v>
      </c>
      <c r="F8" s="22"/>
      <c r="G8" s="29" t="s">
        <v>33</v>
      </c>
      <c r="H8" s="29"/>
      <c r="I8" s="445" t="s">
        <v>178</v>
      </c>
      <c r="J8" s="445"/>
      <c r="K8" s="445" t="s">
        <v>179</v>
      </c>
      <c r="L8" s="31"/>
      <c r="M8" s="324"/>
      <c r="N8" s="324"/>
      <c r="O8" s="324"/>
      <c r="P8" s="324"/>
      <c r="Q8" s="324"/>
      <c r="R8" s="324"/>
      <c r="S8" s="324"/>
      <c r="T8" s="324"/>
      <c r="U8" s="324"/>
    </row>
    <row r="9" spans="1:24" ht="15" customHeight="1">
      <c r="A9" s="392">
        <v>1</v>
      </c>
      <c r="B9" s="21" t="s">
        <v>180</v>
      </c>
      <c r="C9" s="326"/>
      <c r="D9" s="20"/>
      <c r="E9" s="213"/>
      <c r="F9" s="19"/>
      <c r="G9" s="18"/>
      <c r="H9" s="19"/>
      <c r="I9" s="213"/>
    </row>
    <row r="10" spans="1:24" ht="15" customHeight="1">
      <c r="A10" s="392">
        <f t="shared" ref="A10:A47" si="0">A9+1</f>
        <v>2</v>
      </c>
      <c r="C10" s="23" t="s">
        <v>181</v>
      </c>
      <c r="D10" s="23" t="s">
        <v>182</v>
      </c>
      <c r="E10" s="16">
        <f>'2013 ERF - Rate Design'!I24</f>
        <v>0.30481999999999998</v>
      </c>
      <c r="F10" s="19"/>
      <c r="G10" s="364">
        <f>'Rate Change Calc'!E50</f>
        <v>0.16159999999999999</v>
      </c>
      <c r="H10" s="19"/>
      <c r="I10" s="15">
        <f>ROUND(E10*(1+G10),5)</f>
        <v>0.35408000000000001</v>
      </c>
      <c r="K10" s="13">
        <f>I10-E10</f>
        <v>4.9260000000000026E-2</v>
      </c>
      <c r="M10" s="424"/>
      <c r="N10" s="13"/>
      <c r="O10" s="13"/>
    </row>
    <row r="11" spans="1:24" ht="15" customHeight="1">
      <c r="A11" s="392">
        <f t="shared" si="0"/>
        <v>3</v>
      </c>
      <c r="E11" s="17"/>
      <c r="F11" s="19"/>
      <c r="G11" s="18"/>
      <c r="H11" s="19"/>
      <c r="I11" s="12"/>
      <c r="M11" s="13"/>
      <c r="N11" s="13"/>
      <c r="O11" s="13"/>
    </row>
    <row r="12" spans="1:24" ht="15" customHeight="1">
      <c r="A12" s="392">
        <f t="shared" si="0"/>
        <v>4</v>
      </c>
      <c r="B12" s="11" t="s">
        <v>183</v>
      </c>
      <c r="C12" s="326"/>
      <c r="D12" s="20"/>
      <c r="E12" s="309"/>
      <c r="F12" s="19"/>
      <c r="G12" s="18"/>
      <c r="H12" s="19"/>
      <c r="I12" s="213"/>
      <c r="M12" s="13"/>
      <c r="N12" s="13"/>
      <c r="O12" s="13"/>
    </row>
    <row r="13" spans="1:24" ht="15" customHeight="1">
      <c r="A13" s="392">
        <f t="shared" si="0"/>
        <v>5</v>
      </c>
      <c r="B13" s="23"/>
      <c r="C13" s="23" t="s">
        <v>181</v>
      </c>
      <c r="D13" s="23" t="s">
        <v>182</v>
      </c>
      <c r="E13" s="16">
        <f>'2013 ERF - Rate Design'!I29</f>
        <v>0.30481999999999998</v>
      </c>
      <c r="F13" s="19"/>
      <c r="G13" s="18">
        <f>$G$10</f>
        <v>0.16159999999999999</v>
      </c>
      <c r="H13" s="19"/>
      <c r="I13" s="15">
        <f>ROUND(E13*(1+G13),5)</f>
        <v>0.35408000000000001</v>
      </c>
      <c r="K13" s="13">
        <f>I13-E13</f>
        <v>4.9260000000000026E-2</v>
      </c>
      <c r="M13" s="13"/>
      <c r="N13" s="13"/>
      <c r="O13" s="13"/>
    </row>
    <row r="14" spans="1:24" ht="15" customHeight="1">
      <c r="A14" s="392">
        <f t="shared" si="0"/>
        <v>6</v>
      </c>
      <c r="B14" s="23"/>
      <c r="C14" s="10" t="s">
        <v>184</v>
      </c>
      <c r="D14" s="23" t="s">
        <v>182</v>
      </c>
      <c r="E14" s="16">
        <f>'2013 ERF - Rate Design'!I30</f>
        <v>-5.3600000000000002E-3</v>
      </c>
      <c r="F14" s="19"/>
      <c r="G14" s="18">
        <f>$G$10</f>
        <v>0.16159999999999999</v>
      </c>
      <c r="H14" s="19"/>
      <c r="I14" s="15">
        <f>ROUND(E14*(1+G14),5)</f>
        <v>-6.2300000000000003E-3</v>
      </c>
      <c r="K14" s="13">
        <f>I14-E14</f>
        <v>-8.7000000000000011E-4</v>
      </c>
      <c r="M14" s="13"/>
      <c r="N14" s="13"/>
      <c r="O14" s="13"/>
    </row>
    <row r="15" spans="1:24" ht="15" customHeight="1">
      <c r="A15" s="392">
        <f t="shared" si="0"/>
        <v>7</v>
      </c>
      <c r="B15" s="23"/>
      <c r="E15" s="9"/>
      <c r="F15" s="19"/>
      <c r="G15" s="18"/>
      <c r="H15" s="19"/>
      <c r="I15" s="8"/>
      <c r="M15" s="13"/>
      <c r="N15" s="13"/>
      <c r="O15" s="13"/>
    </row>
    <row r="16" spans="1:24" ht="15" customHeight="1">
      <c r="A16" s="392">
        <f t="shared" si="0"/>
        <v>8</v>
      </c>
      <c r="B16" s="11" t="s">
        <v>185</v>
      </c>
      <c r="C16" s="326"/>
      <c r="D16" s="20"/>
      <c r="E16" s="309"/>
      <c r="F16" s="19"/>
      <c r="G16" s="18"/>
      <c r="H16" s="19"/>
      <c r="I16" s="213"/>
      <c r="M16" s="13"/>
      <c r="N16" s="13"/>
      <c r="O16" s="13"/>
    </row>
    <row r="17" spans="1:15" ht="15" customHeight="1">
      <c r="A17" s="392">
        <f t="shared" si="0"/>
        <v>9</v>
      </c>
      <c r="C17" s="213" t="s">
        <v>186</v>
      </c>
      <c r="D17" s="23" t="s">
        <v>182</v>
      </c>
      <c r="E17" s="7">
        <f>'2013 ERF - Rate Design'!I40</f>
        <v>1.1399999999999999</v>
      </c>
      <c r="F17" s="19"/>
      <c r="G17" s="18">
        <f>$G$10</f>
        <v>0.16159999999999999</v>
      </c>
      <c r="H17" s="19"/>
      <c r="I17" s="6">
        <f>ROUND(E17*(1+G17),2)</f>
        <v>1.32</v>
      </c>
      <c r="K17" s="5">
        <f>I17-E17</f>
        <v>0.18000000000000016</v>
      </c>
      <c r="M17" s="13"/>
      <c r="N17" s="13"/>
      <c r="O17" s="13"/>
    </row>
    <row r="18" spans="1:15" ht="15" customHeight="1">
      <c r="A18" s="392">
        <f t="shared" si="0"/>
        <v>10</v>
      </c>
      <c r="C18" s="213"/>
      <c r="E18" s="7"/>
      <c r="F18" s="19"/>
      <c r="G18" s="18"/>
      <c r="H18" s="19"/>
      <c r="I18" s="6"/>
      <c r="M18" s="13"/>
      <c r="N18" s="13"/>
      <c r="O18" s="13"/>
    </row>
    <row r="19" spans="1:15" ht="15" customHeight="1">
      <c r="A19" s="392">
        <f t="shared" si="0"/>
        <v>11</v>
      </c>
      <c r="C19" s="213" t="s">
        <v>187</v>
      </c>
      <c r="E19" s="7"/>
      <c r="F19" s="19"/>
      <c r="G19" s="18"/>
      <c r="H19" s="19"/>
      <c r="I19" s="6"/>
      <c r="M19" s="13"/>
      <c r="N19" s="13"/>
      <c r="O19" s="13"/>
    </row>
    <row r="20" spans="1:15" ht="15" customHeight="1">
      <c r="A20" s="392">
        <f t="shared" si="0"/>
        <v>12</v>
      </c>
      <c r="C20" s="213" t="s">
        <v>188</v>
      </c>
      <c r="D20" s="23" t="s">
        <v>182</v>
      </c>
      <c r="E20" s="16">
        <f>'2013 ERF - Rate Design'!I44</f>
        <v>0.13772999999999999</v>
      </c>
      <c r="F20" s="19"/>
      <c r="G20" s="18">
        <f t="shared" ref="G20:G21" si="1">$G$10</f>
        <v>0.16159999999999999</v>
      </c>
      <c r="H20" s="19"/>
      <c r="I20" s="15">
        <f>ROUND(E20*(1+G20),5)</f>
        <v>0.15998999999999999</v>
      </c>
      <c r="K20" s="13">
        <f>I20-E20</f>
        <v>2.2260000000000002E-2</v>
      </c>
      <c r="M20" s="13"/>
      <c r="N20" s="13"/>
      <c r="O20" s="13"/>
    </row>
    <row r="21" spans="1:15" ht="15" customHeight="1">
      <c r="A21" s="392">
        <f t="shared" si="0"/>
        <v>13</v>
      </c>
      <c r="C21" s="213" t="s">
        <v>189</v>
      </c>
      <c r="D21" s="23" t="s">
        <v>182</v>
      </c>
      <c r="E21" s="16">
        <f>'2013 ERF - Rate Design'!I45</f>
        <v>0.11087</v>
      </c>
      <c r="F21" s="19"/>
      <c r="G21" s="18">
        <f t="shared" si="1"/>
        <v>0.16159999999999999</v>
      </c>
      <c r="H21" s="19"/>
      <c r="I21" s="15">
        <f>ROUND(E21*(1+G21),5)</f>
        <v>0.12878999999999999</v>
      </c>
      <c r="K21" s="13">
        <f>I21-E21</f>
        <v>1.7919999999999991E-2</v>
      </c>
      <c r="M21" s="13"/>
      <c r="N21" s="13"/>
      <c r="O21" s="13"/>
    </row>
    <row r="22" spans="1:15" ht="15" customHeight="1">
      <c r="A22" s="392">
        <f t="shared" si="0"/>
        <v>14</v>
      </c>
      <c r="C22" s="10"/>
      <c r="D22" s="20"/>
      <c r="E22" s="17"/>
      <c r="F22" s="19"/>
      <c r="G22" s="18"/>
      <c r="H22" s="19"/>
      <c r="I22" s="12"/>
      <c r="M22" s="13"/>
      <c r="N22" s="13"/>
      <c r="O22" s="13"/>
    </row>
    <row r="23" spans="1:15" s="322" customFormat="1" ht="15" customHeight="1">
      <c r="A23" s="392">
        <f t="shared" si="0"/>
        <v>15</v>
      </c>
      <c r="B23" s="11" t="s">
        <v>190</v>
      </c>
      <c r="D23" s="20"/>
      <c r="E23" s="309"/>
      <c r="F23" s="4"/>
      <c r="G23" s="18"/>
      <c r="H23" s="4"/>
      <c r="I23" s="213"/>
      <c r="M23" s="13"/>
      <c r="N23" s="13"/>
      <c r="O23" s="13"/>
    </row>
    <row r="24" spans="1:15" s="322" customFormat="1" ht="15" customHeight="1">
      <c r="A24" s="392">
        <f t="shared" si="0"/>
        <v>16</v>
      </c>
      <c r="B24" s="213"/>
      <c r="C24" s="213" t="s">
        <v>186</v>
      </c>
      <c r="D24" s="23" t="s">
        <v>182</v>
      </c>
      <c r="E24" s="7">
        <f>'2013 ERF - Rate Design'!I52</f>
        <v>1.1399999999999999</v>
      </c>
      <c r="F24" s="4"/>
      <c r="G24" s="18">
        <f>$G$10</f>
        <v>0.16159999999999999</v>
      </c>
      <c r="H24" s="4"/>
      <c r="I24" s="6">
        <f>ROUND(E24*(1+G24),2)</f>
        <v>1.32</v>
      </c>
      <c r="K24" s="5">
        <f>I24-E24</f>
        <v>0.18000000000000016</v>
      </c>
      <c r="M24" s="13"/>
      <c r="N24" s="13"/>
      <c r="O24" s="13"/>
    </row>
    <row r="25" spans="1:15" s="322" customFormat="1" ht="15" customHeight="1">
      <c r="A25" s="392">
        <f t="shared" si="0"/>
        <v>17</v>
      </c>
      <c r="B25" s="213"/>
      <c r="C25" s="213"/>
      <c r="D25" s="23"/>
      <c r="E25" s="7"/>
      <c r="F25" s="4"/>
      <c r="G25" s="18"/>
      <c r="H25" s="4"/>
      <c r="I25" s="6"/>
      <c r="M25" s="13"/>
      <c r="N25" s="13"/>
      <c r="O25" s="13"/>
    </row>
    <row r="26" spans="1:15" s="322" customFormat="1" ht="15" customHeight="1">
      <c r="A26" s="392">
        <f t="shared" si="0"/>
        <v>18</v>
      </c>
      <c r="B26" s="213"/>
      <c r="C26" s="213" t="s">
        <v>187</v>
      </c>
      <c r="D26" s="23"/>
      <c r="E26" s="7"/>
      <c r="F26" s="4"/>
      <c r="G26" s="18"/>
      <c r="H26" s="4"/>
      <c r="I26" s="6"/>
      <c r="M26" s="13"/>
      <c r="N26" s="13"/>
      <c r="O26" s="13"/>
    </row>
    <row r="27" spans="1:15" s="322" customFormat="1" ht="15" customHeight="1">
      <c r="A27" s="392">
        <f t="shared" si="0"/>
        <v>19</v>
      </c>
      <c r="B27" s="213"/>
      <c r="C27" s="213" t="s">
        <v>188</v>
      </c>
      <c r="D27" s="23" t="s">
        <v>182</v>
      </c>
      <c r="E27" s="16">
        <f>'2013 ERF - Rate Design'!I56</f>
        <v>0.13772999999999999</v>
      </c>
      <c r="F27" s="4"/>
      <c r="G27" s="18">
        <f t="shared" ref="G27:G28" si="2">$G$10</f>
        <v>0.16159999999999999</v>
      </c>
      <c r="H27" s="4"/>
      <c r="I27" s="15">
        <f>ROUND(E27*(1+G27),5)</f>
        <v>0.15998999999999999</v>
      </c>
      <c r="K27" s="13">
        <f>I27-E27</f>
        <v>2.2260000000000002E-2</v>
      </c>
      <c r="M27" s="13"/>
      <c r="N27" s="13"/>
      <c r="O27" s="13"/>
    </row>
    <row r="28" spans="1:15" s="322" customFormat="1" ht="15" customHeight="1">
      <c r="A28" s="392">
        <f t="shared" si="0"/>
        <v>20</v>
      </c>
      <c r="B28" s="213"/>
      <c r="C28" s="213" t="s">
        <v>189</v>
      </c>
      <c r="D28" s="23" t="s">
        <v>182</v>
      </c>
      <c r="E28" s="16">
        <f>'2013 ERF - Rate Design'!I57</f>
        <v>0.11087</v>
      </c>
      <c r="F28" s="4"/>
      <c r="G28" s="18">
        <f t="shared" si="2"/>
        <v>0.16159999999999999</v>
      </c>
      <c r="H28" s="4"/>
      <c r="I28" s="15">
        <f>ROUND(E28*(1+G28),5)</f>
        <v>0.12878999999999999</v>
      </c>
      <c r="K28" s="13">
        <f>I28-E28</f>
        <v>1.7919999999999991E-2</v>
      </c>
      <c r="M28" s="13"/>
      <c r="N28" s="13"/>
      <c r="O28" s="13"/>
    </row>
    <row r="29" spans="1:15" s="322" customFormat="1" ht="15" customHeight="1">
      <c r="A29" s="392">
        <f t="shared" si="0"/>
        <v>21</v>
      </c>
      <c r="B29" s="213"/>
      <c r="C29" s="10"/>
      <c r="D29" s="20"/>
      <c r="E29" s="17"/>
      <c r="F29" s="4"/>
      <c r="G29" s="18"/>
      <c r="H29" s="4"/>
      <c r="I29" s="12"/>
      <c r="M29" s="13"/>
      <c r="N29" s="13"/>
      <c r="O29" s="13"/>
    </row>
    <row r="30" spans="1:15" s="322" customFormat="1" ht="15" customHeight="1">
      <c r="A30" s="392">
        <f t="shared" si="0"/>
        <v>22</v>
      </c>
      <c r="B30" s="213"/>
      <c r="C30" s="10" t="s">
        <v>184</v>
      </c>
      <c r="D30" s="23" t="s">
        <v>182</v>
      </c>
      <c r="E30" s="3">
        <f>'2013 ERF - Rate Design'!I59</f>
        <v>-5.3600000000000002E-3</v>
      </c>
      <c r="F30" s="4"/>
      <c r="G30" s="18">
        <f>$G$10</f>
        <v>0.16159999999999999</v>
      </c>
      <c r="H30" s="4"/>
      <c r="I30" s="15">
        <f>ROUND(E30*(1+G30),5)</f>
        <v>-6.2300000000000003E-3</v>
      </c>
      <c r="K30" s="13">
        <f>I30-E30</f>
        <v>-8.7000000000000011E-4</v>
      </c>
      <c r="M30" s="13"/>
      <c r="N30" s="13"/>
      <c r="O30" s="13"/>
    </row>
    <row r="31" spans="1:15" s="322" customFormat="1" ht="15" customHeight="1">
      <c r="A31" s="392">
        <f t="shared" si="0"/>
        <v>23</v>
      </c>
      <c r="B31" s="213"/>
      <c r="C31" s="10"/>
      <c r="D31" s="20"/>
      <c r="E31" s="17"/>
      <c r="F31" s="4"/>
      <c r="G31" s="18"/>
      <c r="H31" s="4"/>
      <c r="I31" s="12"/>
      <c r="M31" s="13"/>
      <c r="N31" s="13"/>
      <c r="O31" s="13"/>
    </row>
    <row r="32" spans="1:15" ht="15" customHeight="1">
      <c r="A32" s="392">
        <f t="shared" si="0"/>
        <v>24</v>
      </c>
      <c r="B32" s="21" t="s">
        <v>191</v>
      </c>
      <c r="C32" s="326"/>
      <c r="D32" s="20"/>
      <c r="E32" s="7"/>
      <c r="F32" s="2"/>
      <c r="G32" s="18"/>
      <c r="H32" s="2"/>
      <c r="I32" s="6"/>
      <c r="M32" s="13"/>
      <c r="N32" s="13"/>
      <c r="O32" s="13"/>
    </row>
    <row r="33" spans="1:20" ht="15" customHeight="1">
      <c r="A33" s="392">
        <f t="shared" si="0"/>
        <v>25</v>
      </c>
      <c r="C33" s="23" t="s">
        <v>186</v>
      </c>
      <c r="D33" s="23" t="s">
        <v>182</v>
      </c>
      <c r="E33" s="7">
        <f>'2013 ERF - Rate Design'!I89</f>
        <v>1.1399999999999999</v>
      </c>
      <c r="F33" s="2"/>
      <c r="G33" s="18">
        <f t="shared" ref="G33:G34" si="3">$G$10</f>
        <v>0.16159999999999999</v>
      </c>
      <c r="H33" s="2"/>
      <c r="I33" s="6">
        <f>ROUND(E33*(1+G33),2)</f>
        <v>1.32</v>
      </c>
      <c r="K33" s="5">
        <f>I33-E33</f>
        <v>0.18000000000000016</v>
      </c>
      <c r="M33" s="13"/>
      <c r="N33" s="13"/>
      <c r="O33" s="13"/>
    </row>
    <row r="34" spans="1:20" ht="15" customHeight="1">
      <c r="A34" s="392">
        <f t="shared" si="0"/>
        <v>26</v>
      </c>
      <c r="C34" s="23" t="s">
        <v>192</v>
      </c>
      <c r="D34" s="23" t="s">
        <v>182</v>
      </c>
      <c r="E34" s="16">
        <f>'2013 ERF - Rate Design'!I90</f>
        <v>6.7799999999999996E-3</v>
      </c>
      <c r="F34" s="2"/>
      <c r="G34" s="18">
        <f t="shared" si="3"/>
        <v>0.16159999999999999</v>
      </c>
      <c r="H34" s="2"/>
      <c r="I34" s="15">
        <f>ROUND(E34*(1+G34),5)</f>
        <v>7.8799999999999999E-3</v>
      </c>
      <c r="K34" s="13">
        <f>I34-E34</f>
        <v>1.1000000000000003E-3</v>
      </c>
      <c r="M34" s="13"/>
      <c r="N34" s="13"/>
      <c r="O34" s="13"/>
    </row>
    <row r="35" spans="1:20" ht="15" customHeight="1">
      <c r="A35" s="392">
        <f t="shared" si="0"/>
        <v>27</v>
      </c>
      <c r="E35" s="16"/>
      <c r="F35" s="2"/>
      <c r="G35" s="18"/>
      <c r="H35" s="2"/>
      <c r="I35" s="15"/>
      <c r="M35" s="13"/>
      <c r="N35" s="13"/>
      <c r="O35" s="13"/>
    </row>
    <row r="36" spans="1:20" ht="15" customHeight="1">
      <c r="A36" s="392">
        <f t="shared" si="0"/>
        <v>28</v>
      </c>
      <c r="C36" s="23" t="s">
        <v>187</v>
      </c>
      <c r="E36" s="16"/>
      <c r="F36" s="2"/>
      <c r="G36" s="18"/>
      <c r="H36" s="2"/>
      <c r="I36" s="15"/>
      <c r="M36" s="13"/>
      <c r="N36" s="13"/>
      <c r="O36" s="13"/>
    </row>
    <row r="37" spans="1:20" ht="15" customHeight="1">
      <c r="A37" s="392">
        <f t="shared" si="0"/>
        <v>29</v>
      </c>
      <c r="C37" s="213" t="s">
        <v>193</v>
      </c>
      <c r="D37" s="23" t="s">
        <v>182</v>
      </c>
      <c r="E37" s="16">
        <f>'2013 ERF - Rate Design'!I94</f>
        <v>0.19822000000000001</v>
      </c>
      <c r="F37" s="2"/>
      <c r="G37" s="18">
        <f t="shared" ref="G37:G38" si="4">$G$10</f>
        <v>0.16159999999999999</v>
      </c>
      <c r="H37" s="2"/>
      <c r="I37" s="15">
        <f>ROUND(E37*(1+G37),5)</f>
        <v>0.23025000000000001</v>
      </c>
      <c r="K37" s="13">
        <f>I37-E37</f>
        <v>3.2030000000000003E-2</v>
      </c>
      <c r="M37" s="13"/>
      <c r="N37" s="13"/>
      <c r="O37" s="13"/>
    </row>
    <row r="38" spans="1:20" ht="15" customHeight="1">
      <c r="A38" s="392">
        <f t="shared" si="0"/>
        <v>30</v>
      </c>
      <c r="C38" s="213" t="s">
        <v>194</v>
      </c>
      <c r="D38" s="23" t="s">
        <v>182</v>
      </c>
      <c r="E38" s="16">
        <f>'2013 ERF - Rate Design'!I95</f>
        <v>0.14054</v>
      </c>
      <c r="F38" s="2"/>
      <c r="G38" s="18">
        <f t="shared" si="4"/>
        <v>0.16159999999999999</v>
      </c>
      <c r="H38" s="2"/>
      <c r="I38" s="15">
        <f>ROUND(E38*(1+G38),5)</f>
        <v>0.16325000000000001</v>
      </c>
      <c r="K38" s="13">
        <f>I38-E38</f>
        <v>2.2710000000000008E-2</v>
      </c>
      <c r="M38" s="13"/>
      <c r="N38" s="13"/>
      <c r="O38" s="13"/>
    </row>
    <row r="39" spans="1:20" ht="15" customHeight="1">
      <c r="A39" s="392">
        <f t="shared" si="0"/>
        <v>31</v>
      </c>
      <c r="C39" s="20"/>
      <c r="D39" s="20"/>
      <c r="E39" s="7"/>
      <c r="F39" s="2"/>
      <c r="G39" s="18"/>
      <c r="H39" s="2"/>
      <c r="I39" s="6"/>
      <c r="M39" s="13"/>
      <c r="N39" s="13"/>
      <c r="O39" s="13"/>
    </row>
    <row r="40" spans="1:20" ht="15" customHeight="1">
      <c r="A40" s="392">
        <f t="shared" si="0"/>
        <v>32</v>
      </c>
      <c r="B40" s="21" t="s">
        <v>195</v>
      </c>
      <c r="C40" s="326"/>
      <c r="D40" s="20"/>
      <c r="E40" s="7"/>
      <c r="F40" s="2"/>
      <c r="G40" s="18"/>
      <c r="H40" s="2"/>
      <c r="I40" s="6"/>
      <c r="M40" s="13"/>
      <c r="N40" s="13"/>
      <c r="O40" s="13"/>
    </row>
    <row r="41" spans="1:20" ht="15" customHeight="1">
      <c r="A41" s="392">
        <f t="shared" si="0"/>
        <v>33</v>
      </c>
      <c r="B41" s="23"/>
      <c r="C41" s="23" t="s">
        <v>186</v>
      </c>
      <c r="D41" s="23" t="s">
        <v>182</v>
      </c>
      <c r="E41" s="7">
        <f>'2013 ERF - Rate Design'!I101</f>
        <v>1.1399999999999999</v>
      </c>
      <c r="F41" s="2"/>
      <c r="G41" s="18">
        <f>$G$10</f>
        <v>0.16159999999999999</v>
      </c>
      <c r="H41" s="2"/>
      <c r="I41" s="6">
        <f>ROUND(E41*(1+G41),2)</f>
        <v>1.32</v>
      </c>
      <c r="K41" s="5">
        <f>I41-E41</f>
        <v>0.18000000000000016</v>
      </c>
      <c r="M41" s="13"/>
      <c r="N41" s="13"/>
      <c r="O41" s="13"/>
    </row>
    <row r="42" spans="1:20" ht="15" customHeight="1">
      <c r="A42" s="392">
        <f t="shared" si="0"/>
        <v>34</v>
      </c>
      <c r="B42" s="23"/>
      <c r="E42" s="16"/>
      <c r="F42" s="2"/>
      <c r="G42" s="18"/>
      <c r="H42" s="2"/>
      <c r="I42" s="15"/>
      <c r="M42" s="13"/>
      <c r="N42" s="13"/>
      <c r="O42" s="13"/>
    </row>
    <row r="43" spans="1:20" ht="15" customHeight="1">
      <c r="A43" s="392">
        <f t="shared" si="0"/>
        <v>35</v>
      </c>
      <c r="B43" s="23"/>
      <c r="C43" s="23" t="s">
        <v>187</v>
      </c>
      <c r="E43" s="16"/>
      <c r="F43" s="2"/>
      <c r="G43" s="18"/>
      <c r="H43" s="2"/>
      <c r="I43" s="15"/>
      <c r="M43" s="13"/>
      <c r="N43" s="13"/>
      <c r="O43" s="13"/>
    </row>
    <row r="44" spans="1:20" ht="15" customHeight="1">
      <c r="A44" s="392">
        <f t="shared" si="0"/>
        <v>36</v>
      </c>
      <c r="B44" s="23"/>
      <c r="C44" s="213" t="s">
        <v>193</v>
      </c>
      <c r="D44" s="23" t="s">
        <v>182</v>
      </c>
      <c r="E44" s="16">
        <f>'2013 ERF - Rate Design'!I105</f>
        <v>0.19822000000000001</v>
      </c>
      <c r="F44" s="2"/>
      <c r="G44" s="18">
        <f t="shared" ref="G44:G45" si="5">$G$10</f>
        <v>0.16159999999999999</v>
      </c>
      <c r="H44" s="2"/>
      <c r="I44" s="15">
        <f>ROUND(E44*(1+G44),5)</f>
        <v>0.23025000000000001</v>
      </c>
      <c r="K44" s="13">
        <f>I44-E44</f>
        <v>3.2030000000000003E-2</v>
      </c>
      <c r="M44" s="13"/>
      <c r="N44" s="13"/>
      <c r="O44" s="13"/>
    </row>
    <row r="45" spans="1:20" ht="15" customHeight="1">
      <c r="A45" s="392">
        <f t="shared" si="0"/>
        <v>37</v>
      </c>
      <c r="B45" s="23"/>
      <c r="C45" s="213" t="s">
        <v>194</v>
      </c>
      <c r="D45" s="23" t="s">
        <v>182</v>
      </c>
      <c r="E45" s="16">
        <f>'2013 ERF - Rate Design'!I106</f>
        <v>0.14054</v>
      </c>
      <c r="F45" s="2"/>
      <c r="G45" s="18">
        <f t="shared" si="5"/>
        <v>0.16159999999999999</v>
      </c>
      <c r="H45" s="2"/>
      <c r="I45" s="15">
        <f>ROUND(E45*(1+G45),5)</f>
        <v>0.16325000000000001</v>
      </c>
      <c r="K45" s="13">
        <f>I45-E45</f>
        <v>2.2710000000000008E-2</v>
      </c>
      <c r="M45" s="13"/>
      <c r="N45" s="13"/>
      <c r="O45" s="13"/>
    </row>
    <row r="46" spans="1:20" ht="15" customHeight="1">
      <c r="A46" s="392">
        <f t="shared" si="0"/>
        <v>38</v>
      </c>
      <c r="B46" s="23"/>
      <c r="C46" s="20"/>
      <c r="D46" s="20"/>
      <c r="E46" s="6"/>
      <c r="F46" s="2"/>
      <c r="G46" s="18"/>
      <c r="H46" s="2"/>
      <c r="I46" s="6"/>
      <c r="M46" s="13"/>
      <c r="N46" s="13"/>
      <c r="O46" s="13"/>
    </row>
    <row r="47" spans="1:20" ht="15" customHeight="1">
      <c r="A47" s="392">
        <f t="shared" si="0"/>
        <v>39</v>
      </c>
      <c r="B47" s="326" t="s">
        <v>196</v>
      </c>
      <c r="E47" s="1"/>
      <c r="F47" s="1"/>
      <c r="G47" s="18"/>
      <c r="H47" s="1"/>
      <c r="K47" s="1"/>
      <c r="L47" s="1"/>
      <c r="M47" s="13"/>
      <c r="N47" s="13"/>
      <c r="O47" s="13"/>
      <c r="P47" s="1"/>
      <c r="Q47" s="1"/>
      <c r="R47" s="1"/>
      <c r="S47" s="1"/>
      <c r="T47" s="1"/>
    </row>
    <row r="48" spans="1:20" ht="15" customHeight="1">
      <c r="A48" s="392"/>
      <c r="G48" s="18"/>
      <c r="M48" s="13"/>
      <c r="N48" s="13"/>
      <c r="O48" s="13"/>
    </row>
    <row r="49" spans="3:15" ht="15" customHeight="1">
      <c r="G49" s="18"/>
      <c r="M49" s="13"/>
      <c r="N49" s="13"/>
      <c r="O49" s="13"/>
    </row>
    <row r="50" spans="3:15" ht="15" customHeight="1">
      <c r="G50" s="18"/>
      <c r="M50" s="13"/>
      <c r="N50" s="13"/>
      <c r="O50" s="13"/>
    </row>
    <row r="51" spans="3:15" ht="15" customHeight="1">
      <c r="G51" s="18"/>
      <c r="M51" s="13"/>
      <c r="N51" s="13"/>
      <c r="O51" s="13"/>
    </row>
    <row r="52" spans="3:15" ht="15" customHeight="1">
      <c r="G52" s="18"/>
      <c r="M52" s="13"/>
      <c r="N52" s="13"/>
      <c r="O52" s="13"/>
    </row>
    <row r="53" spans="3:15" ht="15" customHeight="1">
      <c r="G53" s="18"/>
      <c r="M53" s="13"/>
      <c r="N53" s="13"/>
      <c r="O53" s="13"/>
    </row>
    <row r="54" spans="3:15" ht="15" customHeight="1">
      <c r="C54" s="326"/>
      <c r="D54" s="326"/>
      <c r="E54" s="326"/>
      <c r="G54" s="18"/>
      <c r="M54" s="13"/>
      <c r="N54" s="13"/>
      <c r="O54" s="13"/>
    </row>
    <row r="55" spans="3:15" ht="15" customHeight="1">
      <c r="C55" s="326"/>
      <c r="D55" s="326"/>
      <c r="E55" s="326"/>
      <c r="G55" s="18"/>
      <c r="M55" s="13"/>
      <c r="N55" s="13"/>
      <c r="O55" s="13"/>
    </row>
    <row r="56" spans="3:15" ht="15" customHeight="1">
      <c r="C56" s="326"/>
      <c r="D56" s="326"/>
      <c r="E56" s="326"/>
      <c r="G56" s="18"/>
      <c r="M56" s="13"/>
      <c r="N56" s="13"/>
      <c r="O56" s="13"/>
    </row>
    <row r="57" spans="3:15" ht="15" customHeight="1">
      <c r="C57" s="326"/>
      <c r="D57" s="326"/>
      <c r="E57" s="326"/>
      <c r="G57" s="18"/>
      <c r="M57" s="13"/>
      <c r="N57" s="13"/>
      <c r="O57" s="13"/>
    </row>
    <row r="58" spans="3:15" ht="15" customHeight="1">
      <c r="C58" s="326"/>
      <c r="D58" s="326"/>
      <c r="E58" s="326"/>
      <c r="G58" s="18"/>
    </row>
    <row r="59" spans="3:15" ht="15" customHeight="1">
      <c r="C59" s="326"/>
      <c r="D59" s="326"/>
      <c r="E59" s="326"/>
      <c r="G59" s="18"/>
    </row>
    <row r="60" spans="3:15" ht="15" customHeight="1">
      <c r="C60" s="326"/>
      <c r="D60" s="326"/>
      <c r="E60" s="326"/>
      <c r="G60" s="18"/>
    </row>
    <row r="61" spans="3:15" ht="15" customHeight="1">
      <c r="C61" s="326"/>
      <c r="D61" s="326"/>
      <c r="E61" s="326"/>
      <c r="G61" s="18"/>
    </row>
    <row r="62" spans="3:15" ht="15" customHeight="1">
      <c r="C62" s="326"/>
      <c r="D62" s="326"/>
      <c r="E62" s="326"/>
      <c r="G62" s="18"/>
    </row>
    <row r="63" spans="3:15" ht="15" customHeight="1">
      <c r="C63" s="326"/>
      <c r="D63" s="326"/>
      <c r="E63" s="326"/>
      <c r="G63" s="18"/>
    </row>
    <row r="64" spans="3:15" ht="15" customHeight="1">
      <c r="C64" s="326"/>
      <c r="D64" s="326"/>
      <c r="E64" s="326"/>
      <c r="G64" s="18"/>
    </row>
    <row r="65" spans="3:7" ht="15" customHeight="1">
      <c r="C65" s="326"/>
      <c r="D65" s="326"/>
      <c r="E65" s="326"/>
      <c r="G65" s="18"/>
    </row>
    <row r="66" spans="3:7" ht="15" customHeight="1">
      <c r="C66" s="326"/>
      <c r="D66" s="326"/>
      <c r="E66" s="326"/>
      <c r="G66" s="18"/>
    </row>
    <row r="67" spans="3:7" ht="15" customHeight="1">
      <c r="C67" s="326"/>
      <c r="D67" s="326"/>
      <c r="E67" s="326"/>
      <c r="G67" s="18"/>
    </row>
    <row r="68" spans="3:7" ht="15" customHeight="1">
      <c r="C68" s="326"/>
      <c r="D68" s="326"/>
      <c r="E68" s="326"/>
      <c r="G68" s="18"/>
    </row>
    <row r="69" spans="3:7" ht="15" customHeight="1">
      <c r="C69" s="326"/>
      <c r="D69" s="326"/>
      <c r="E69" s="326"/>
      <c r="G69" s="18"/>
    </row>
    <row r="70" spans="3:7" ht="15" customHeight="1">
      <c r="C70" s="326"/>
      <c r="D70" s="326"/>
      <c r="E70" s="326"/>
      <c r="G70" s="18"/>
    </row>
    <row r="71" spans="3:7" ht="15" customHeight="1">
      <c r="C71" s="326"/>
      <c r="D71" s="326"/>
      <c r="E71" s="326"/>
      <c r="G71" s="18"/>
    </row>
    <row r="72" spans="3:7" ht="15" customHeight="1">
      <c r="C72" s="326"/>
      <c r="D72" s="326"/>
      <c r="E72" s="326"/>
      <c r="G72" s="18"/>
    </row>
    <row r="73" spans="3:7" ht="15" customHeight="1">
      <c r="C73" s="326"/>
      <c r="D73" s="326"/>
      <c r="E73" s="326"/>
      <c r="G73" s="18"/>
    </row>
    <row r="74" spans="3:7" ht="15" customHeight="1">
      <c r="C74" s="326"/>
      <c r="D74" s="326"/>
      <c r="E74" s="326"/>
      <c r="G74" s="18"/>
    </row>
    <row r="75" spans="3:7" ht="15" customHeight="1">
      <c r="C75" s="326"/>
      <c r="D75" s="326"/>
      <c r="E75" s="326"/>
      <c r="G75" s="18"/>
    </row>
    <row r="76" spans="3:7" ht="15" customHeight="1">
      <c r="C76" s="326"/>
      <c r="D76" s="326"/>
      <c r="E76" s="326"/>
      <c r="G76" s="18"/>
    </row>
    <row r="77" spans="3:7" ht="15" customHeight="1">
      <c r="C77" s="326"/>
      <c r="D77" s="326"/>
      <c r="E77" s="326"/>
      <c r="G77" s="18"/>
    </row>
    <row r="78" spans="3:7" ht="15" customHeight="1">
      <c r="C78" s="326"/>
      <c r="D78" s="326"/>
      <c r="E78" s="326"/>
      <c r="G78" s="18"/>
    </row>
    <row r="79" spans="3:7" ht="15" customHeight="1">
      <c r="C79" s="326"/>
      <c r="D79" s="326"/>
      <c r="E79" s="326"/>
      <c r="G79" s="18"/>
    </row>
    <row r="80" spans="3:7" ht="15" customHeight="1">
      <c r="C80" s="326"/>
      <c r="D80" s="326"/>
      <c r="E80" s="326"/>
      <c r="G80" s="18"/>
    </row>
    <row r="81" spans="3:7" ht="15" customHeight="1">
      <c r="C81" s="326"/>
      <c r="D81" s="326"/>
      <c r="E81" s="326"/>
      <c r="G81" s="18"/>
    </row>
    <row r="82" spans="3:7" ht="15" customHeight="1">
      <c r="C82" s="326"/>
      <c r="D82" s="326"/>
      <c r="E82" s="326"/>
      <c r="G82" s="18"/>
    </row>
    <row r="83" spans="3:7" ht="15" customHeight="1">
      <c r="C83" s="326"/>
      <c r="D83" s="326"/>
      <c r="E83" s="326"/>
      <c r="G83" s="18"/>
    </row>
    <row r="84" spans="3:7" ht="15" customHeight="1">
      <c r="C84" s="326"/>
      <c r="D84" s="326"/>
      <c r="E84" s="326"/>
      <c r="G84" s="18"/>
    </row>
    <row r="85" spans="3:7" ht="15" customHeight="1">
      <c r="C85" s="326"/>
      <c r="D85" s="326"/>
      <c r="E85" s="326"/>
      <c r="G85" s="18"/>
    </row>
    <row r="86" spans="3:7" ht="15" customHeight="1">
      <c r="C86" s="326"/>
      <c r="D86" s="326"/>
      <c r="E86" s="326"/>
      <c r="G86" s="18"/>
    </row>
    <row r="87" spans="3:7" ht="15" customHeight="1">
      <c r="C87" s="326"/>
      <c r="D87" s="326"/>
      <c r="E87" s="326"/>
      <c r="G87" s="18"/>
    </row>
    <row r="88" spans="3:7" ht="15" customHeight="1">
      <c r="C88" s="326"/>
      <c r="D88" s="326"/>
      <c r="E88" s="326"/>
      <c r="G88" s="18"/>
    </row>
    <row r="89" spans="3:7" ht="15" customHeight="1">
      <c r="C89" s="326"/>
      <c r="D89" s="326"/>
      <c r="E89" s="326"/>
      <c r="G89" s="18"/>
    </row>
    <row r="90" spans="3:7" ht="15" customHeight="1">
      <c r="C90" s="326"/>
      <c r="D90" s="326"/>
      <c r="E90" s="326"/>
      <c r="G90" s="18"/>
    </row>
    <row r="91" spans="3:7" ht="15" customHeight="1">
      <c r="C91" s="326"/>
      <c r="D91" s="326"/>
      <c r="E91" s="326"/>
      <c r="G91" s="18"/>
    </row>
    <row r="92" spans="3:7" ht="15" customHeight="1">
      <c r="C92" s="326"/>
      <c r="D92" s="326"/>
      <c r="E92" s="326"/>
      <c r="G92" s="18"/>
    </row>
    <row r="93" spans="3:7" ht="15" customHeight="1">
      <c r="C93" s="326"/>
      <c r="D93" s="326"/>
      <c r="E93" s="326"/>
      <c r="G93" s="18"/>
    </row>
    <row r="94" spans="3:7" ht="15" customHeight="1">
      <c r="C94" s="326"/>
      <c r="D94" s="326"/>
      <c r="E94" s="326"/>
      <c r="G94" s="18"/>
    </row>
    <row r="95" spans="3:7" ht="15" customHeight="1">
      <c r="C95" s="326"/>
      <c r="D95" s="326"/>
      <c r="E95" s="326"/>
      <c r="G95" s="18"/>
    </row>
    <row r="96" spans="3:7" ht="15" customHeight="1">
      <c r="C96" s="326"/>
      <c r="D96" s="326"/>
      <c r="E96" s="326"/>
      <c r="G96" s="18"/>
    </row>
    <row r="97" spans="3:7" ht="15" customHeight="1">
      <c r="C97" s="326"/>
      <c r="D97" s="326"/>
      <c r="E97" s="326"/>
      <c r="G97" s="18"/>
    </row>
    <row r="98" spans="3:7" ht="15" customHeight="1">
      <c r="C98" s="326"/>
      <c r="D98" s="326"/>
      <c r="E98" s="326"/>
      <c r="G98" s="18"/>
    </row>
    <row r="99" spans="3:7" ht="15" customHeight="1">
      <c r="C99" s="326"/>
      <c r="D99" s="326"/>
      <c r="E99" s="326"/>
      <c r="G99" s="18"/>
    </row>
    <row r="100" spans="3:7" ht="15" customHeight="1">
      <c r="C100" s="326"/>
      <c r="D100" s="326"/>
      <c r="E100" s="326"/>
      <c r="G100" s="18"/>
    </row>
    <row r="101" spans="3:7" ht="15" customHeight="1">
      <c r="C101" s="326"/>
      <c r="D101" s="326"/>
      <c r="E101" s="326"/>
      <c r="G101" s="18"/>
    </row>
    <row r="102" spans="3:7" ht="15" customHeight="1">
      <c r="C102" s="326"/>
      <c r="D102" s="326"/>
      <c r="E102" s="326"/>
      <c r="G102" s="18"/>
    </row>
    <row r="103" spans="3:7" ht="15" customHeight="1">
      <c r="C103" s="326"/>
      <c r="D103" s="326"/>
      <c r="E103" s="326"/>
      <c r="G103" s="18"/>
    </row>
    <row r="104" spans="3:7" ht="15" customHeight="1">
      <c r="C104" s="326"/>
      <c r="D104" s="326"/>
      <c r="E104" s="326"/>
      <c r="G104" s="18"/>
    </row>
    <row r="105" spans="3:7" ht="15" customHeight="1">
      <c r="C105" s="326"/>
      <c r="D105" s="326"/>
      <c r="E105" s="326"/>
      <c r="G105" s="18"/>
    </row>
    <row r="106" spans="3:7" ht="15" customHeight="1">
      <c r="C106" s="326"/>
      <c r="D106" s="326"/>
      <c r="E106" s="326"/>
      <c r="G106" s="18"/>
    </row>
  </sheetData>
  <mergeCells count="4">
    <mergeCell ref="B1:K1"/>
    <mergeCell ref="B2:K2"/>
    <mergeCell ref="B3:K3"/>
    <mergeCell ref="B4:K4"/>
  </mergeCells>
  <printOptions horizontalCentered="1"/>
  <pageMargins left="0.7" right="0.7" top="0.75" bottom="0.75" header="0.3" footer="0.3"/>
  <pageSetup scale="86" fitToHeight="2"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2" manualBreakCount="2">
    <brk id="30" max="10" man="1"/>
    <brk id="45" max="10"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AQ102"/>
  <sheetViews>
    <sheetView zoomScale="50" workbookViewId="0">
      <selection activeCell="I68" sqref="I68"/>
    </sheetView>
  </sheetViews>
  <sheetFormatPr baseColWidth="10" defaultColWidth="8.83203125" defaultRowHeight="13"/>
  <cols>
    <col min="1" max="1" width="4.1640625" style="172" customWidth="1"/>
    <col min="2" max="2" width="53.1640625" style="172" customWidth="1"/>
    <col min="3" max="3" width="11.5" style="169" bestFit="1" customWidth="1"/>
    <col min="4" max="4" width="14.6640625" style="169" hidden="1" customWidth="1"/>
    <col min="5" max="5" width="14.6640625" style="172" hidden="1" customWidth="1"/>
    <col min="6" max="6" width="14.6640625" style="182" hidden="1" customWidth="1"/>
    <col min="7" max="9" width="14.6640625" style="172" hidden="1" customWidth="1"/>
    <col min="10" max="15" width="14.6640625" style="172" customWidth="1"/>
    <col min="16" max="18" width="15.5" style="172" bestFit="1" customWidth="1"/>
    <col min="19" max="43" width="14.6640625" style="172" customWidth="1"/>
    <col min="44" max="252" width="9.1640625" style="172"/>
    <col min="253" max="253" width="5.6640625" style="172" customWidth="1"/>
    <col min="254" max="254" width="58.6640625" style="172" bestFit="1" customWidth="1"/>
    <col min="255" max="255" width="11.5" style="172" bestFit="1" customWidth="1"/>
    <col min="256" max="256" width="18.33203125" style="172" bestFit="1" customWidth="1"/>
    <col min="257" max="257" width="9.1640625" style="172"/>
    <col min="258" max="259" width="0" style="172" hidden="1" customWidth="1"/>
    <col min="260" max="508" width="9.1640625" style="172"/>
    <col min="509" max="509" width="5.6640625" style="172" customWidth="1"/>
    <col min="510" max="510" width="58.6640625" style="172" bestFit="1" customWidth="1"/>
    <col min="511" max="511" width="11.5" style="172" bestFit="1" customWidth="1"/>
    <col min="512" max="512" width="18.33203125" style="172" bestFit="1" customWidth="1"/>
    <col min="513" max="513" width="9.1640625" style="172"/>
    <col min="514" max="515" width="0" style="172" hidden="1" customWidth="1"/>
    <col min="516" max="764" width="9.1640625" style="172"/>
    <col min="765" max="765" width="5.6640625" style="172" customWidth="1"/>
    <col min="766" max="766" width="58.6640625" style="172" bestFit="1" customWidth="1"/>
    <col min="767" max="767" width="11.5" style="172" bestFit="1" customWidth="1"/>
    <col min="768" max="768" width="18.33203125" style="172" bestFit="1" customWidth="1"/>
    <col min="769" max="769" width="9.1640625" style="172"/>
    <col min="770" max="771" width="0" style="172" hidden="1" customWidth="1"/>
    <col min="772" max="1020" width="9.1640625" style="172"/>
    <col min="1021" max="1021" width="5.6640625" style="172" customWidth="1"/>
    <col min="1022" max="1022" width="58.6640625" style="172" bestFit="1" customWidth="1"/>
    <col min="1023" max="1023" width="11.5" style="172" bestFit="1" customWidth="1"/>
    <col min="1024" max="1024" width="18.33203125" style="172" bestFit="1" customWidth="1"/>
    <col min="1025" max="1025" width="9.1640625" style="172"/>
    <col min="1026" max="1027" width="0" style="172" hidden="1" customWidth="1"/>
    <col min="1028" max="1276" width="9.1640625" style="172"/>
    <col min="1277" max="1277" width="5.6640625" style="172" customWidth="1"/>
    <col min="1278" max="1278" width="58.6640625" style="172" bestFit="1" customWidth="1"/>
    <col min="1279" max="1279" width="11.5" style="172" bestFit="1" customWidth="1"/>
    <col min="1280" max="1280" width="18.33203125" style="172" bestFit="1" customWidth="1"/>
    <col min="1281" max="1281" width="9.1640625" style="172"/>
    <col min="1282" max="1283" width="0" style="172" hidden="1" customWidth="1"/>
    <col min="1284" max="1532" width="9.1640625" style="172"/>
    <col min="1533" max="1533" width="5.6640625" style="172" customWidth="1"/>
    <col min="1534" max="1534" width="58.6640625" style="172" bestFit="1" customWidth="1"/>
    <col min="1535" max="1535" width="11.5" style="172" bestFit="1" customWidth="1"/>
    <col min="1536" max="1536" width="18.33203125" style="172" bestFit="1" customWidth="1"/>
    <col min="1537" max="1537" width="9.1640625" style="172"/>
    <col min="1538" max="1539" width="0" style="172" hidden="1" customWidth="1"/>
    <col min="1540" max="1788" width="9.1640625" style="172"/>
    <col min="1789" max="1789" width="5.6640625" style="172" customWidth="1"/>
    <col min="1790" max="1790" width="58.6640625" style="172" bestFit="1" customWidth="1"/>
    <col min="1791" max="1791" width="11.5" style="172" bestFit="1" customWidth="1"/>
    <col min="1792" max="1792" width="18.33203125" style="172" bestFit="1" customWidth="1"/>
    <col min="1793" max="1793" width="9.1640625" style="172"/>
    <col min="1794" max="1795" width="0" style="172" hidden="1" customWidth="1"/>
    <col min="1796" max="2044" width="9.1640625" style="172"/>
    <col min="2045" max="2045" width="5.6640625" style="172" customWidth="1"/>
    <col min="2046" max="2046" width="58.6640625" style="172" bestFit="1" customWidth="1"/>
    <col min="2047" max="2047" width="11.5" style="172" bestFit="1" customWidth="1"/>
    <col min="2048" max="2048" width="18.33203125" style="172" bestFit="1" customWidth="1"/>
    <col min="2049" max="2049" width="9.1640625" style="172"/>
    <col min="2050" max="2051" width="0" style="172" hidden="1" customWidth="1"/>
    <col min="2052" max="2300" width="9.1640625" style="172"/>
    <col min="2301" max="2301" width="5.6640625" style="172" customWidth="1"/>
    <col min="2302" max="2302" width="58.6640625" style="172" bestFit="1" customWidth="1"/>
    <col min="2303" max="2303" width="11.5" style="172" bestFit="1" customWidth="1"/>
    <col min="2304" max="2304" width="18.33203125" style="172" bestFit="1" customWidth="1"/>
    <col min="2305" max="2305" width="9.1640625" style="172"/>
    <col min="2306" max="2307" width="0" style="172" hidden="1" customWidth="1"/>
    <col min="2308" max="2556" width="9.1640625" style="172"/>
    <col min="2557" max="2557" width="5.6640625" style="172" customWidth="1"/>
    <col min="2558" max="2558" width="58.6640625" style="172" bestFit="1" customWidth="1"/>
    <col min="2559" max="2559" width="11.5" style="172" bestFit="1" customWidth="1"/>
    <col min="2560" max="2560" width="18.33203125" style="172" bestFit="1" customWidth="1"/>
    <col min="2561" max="2561" width="9.1640625" style="172"/>
    <col min="2562" max="2563" width="0" style="172" hidden="1" customWidth="1"/>
    <col min="2564" max="2812" width="9.1640625" style="172"/>
    <col min="2813" max="2813" width="5.6640625" style="172" customWidth="1"/>
    <col min="2814" max="2814" width="58.6640625" style="172" bestFit="1" customWidth="1"/>
    <col min="2815" max="2815" width="11.5" style="172" bestFit="1" customWidth="1"/>
    <col min="2816" max="2816" width="18.33203125" style="172" bestFit="1" customWidth="1"/>
    <col min="2817" max="2817" width="9.1640625" style="172"/>
    <col min="2818" max="2819" width="0" style="172" hidden="1" customWidth="1"/>
    <col min="2820" max="3068" width="9.1640625" style="172"/>
    <col min="3069" max="3069" width="5.6640625" style="172" customWidth="1"/>
    <col min="3070" max="3070" width="58.6640625" style="172" bestFit="1" customWidth="1"/>
    <col min="3071" max="3071" width="11.5" style="172" bestFit="1" customWidth="1"/>
    <col min="3072" max="3072" width="18.33203125" style="172" bestFit="1" customWidth="1"/>
    <col min="3073" max="3073" width="9.1640625" style="172"/>
    <col min="3074" max="3075" width="0" style="172" hidden="1" customWidth="1"/>
    <col min="3076" max="3324" width="9.1640625" style="172"/>
    <col min="3325" max="3325" width="5.6640625" style="172" customWidth="1"/>
    <col min="3326" max="3326" width="58.6640625" style="172" bestFit="1" customWidth="1"/>
    <col min="3327" max="3327" width="11.5" style="172" bestFit="1" customWidth="1"/>
    <col min="3328" max="3328" width="18.33203125" style="172" bestFit="1" customWidth="1"/>
    <col min="3329" max="3329" width="9.1640625" style="172"/>
    <col min="3330" max="3331" width="0" style="172" hidden="1" customWidth="1"/>
    <col min="3332" max="3580" width="9.1640625" style="172"/>
    <col min="3581" max="3581" width="5.6640625" style="172" customWidth="1"/>
    <col min="3582" max="3582" width="58.6640625" style="172" bestFit="1" customWidth="1"/>
    <col min="3583" max="3583" width="11.5" style="172" bestFit="1" customWidth="1"/>
    <col min="3584" max="3584" width="18.33203125" style="172" bestFit="1" customWidth="1"/>
    <col min="3585" max="3585" width="9.1640625" style="172"/>
    <col min="3586" max="3587" width="0" style="172" hidden="1" customWidth="1"/>
    <col min="3588" max="3836" width="9.1640625" style="172"/>
    <col min="3837" max="3837" width="5.6640625" style="172" customWidth="1"/>
    <col min="3838" max="3838" width="58.6640625" style="172" bestFit="1" customWidth="1"/>
    <col min="3839" max="3839" width="11.5" style="172" bestFit="1" customWidth="1"/>
    <col min="3840" max="3840" width="18.33203125" style="172" bestFit="1" customWidth="1"/>
    <col min="3841" max="3841" width="9.1640625" style="172"/>
    <col min="3842" max="3843" width="0" style="172" hidden="1" customWidth="1"/>
    <col min="3844" max="4092" width="9.1640625" style="172"/>
    <col min="4093" max="4093" width="5.6640625" style="172" customWidth="1"/>
    <col min="4094" max="4094" width="58.6640625" style="172" bestFit="1" customWidth="1"/>
    <col min="4095" max="4095" width="11.5" style="172" bestFit="1" customWidth="1"/>
    <col min="4096" max="4096" width="18.33203125" style="172" bestFit="1" customWidth="1"/>
    <col min="4097" max="4097" width="9.1640625" style="172"/>
    <col min="4098" max="4099" width="0" style="172" hidden="1" customWidth="1"/>
    <col min="4100" max="4348" width="9.1640625" style="172"/>
    <col min="4349" max="4349" width="5.6640625" style="172" customWidth="1"/>
    <col min="4350" max="4350" width="58.6640625" style="172" bestFit="1" customWidth="1"/>
    <col min="4351" max="4351" width="11.5" style="172" bestFit="1" customWidth="1"/>
    <col min="4352" max="4352" width="18.33203125" style="172" bestFit="1" customWidth="1"/>
    <col min="4353" max="4353" width="9.1640625" style="172"/>
    <col min="4354" max="4355" width="0" style="172" hidden="1" customWidth="1"/>
    <col min="4356" max="4604" width="9.1640625" style="172"/>
    <col min="4605" max="4605" width="5.6640625" style="172" customWidth="1"/>
    <col min="4606" max="4606" width="58.6640625" style="172" bestFit="1" customWidth="1"/>
    <col min="4607" max="4607" width="11.5" style="172" bestFit="1" customWidth="1"/>
    <col min="4608" max="4608" width="18.33203125" style="172" bestFit="1" customWidth="1"/>
    <col min="4609" max="4609" width="9.1640625" style="172"/>
    <col min="4610" max="4611" width="0" style="172" hidden="1" customWidth="1"/>
    <col min="4612" max="4860" width="9.1640625" style="172"/>
    <col min="4861" max="4861" width="5.6640625" style="172" customWidth="1"/>
    <col min="4862" max="4862" width="58.6640625" style="172" bestFit="1" customWidth="1"/>
    <col min="4863" max="4863" width="11.5" style="172" bestFit="1" customWidth="1"/>
    <col min="4864" max="4864" width="18.33203125" style="172" bestFit="1" customWidth="1"/>
    <col min="4865" max="4865" width="9.1640625" style="172"/>
    <col min="4866" max="4867" width="0" style="172" hidden="1" customWidth="1"/>
    <col min="4868" max="5116" width="9.1640625" style="172"/>
    <col min="5117" max="5117" width="5.6640625" style="172" customWidth="1"/>
    <col min="5118" max="5118" width="58.6640625" style="172" bestFit="1" customWidth="1"/>
    <col min="5119" max="5119" width="11.5" style="172" bestFit="1" customWidth="1"/>
    <col min="5120" max="5120" width="18.33203125" style="172" bestFit="1" customWidth="1"/>
    <col min="5121" max="5121" width="9.1640625" style="172"/>
    <col min="5122" max="5123" width="0" style="172" hidden="1" customWidth="1"/>
    <col min="5124" max="5372" width="9.1640625" style="172"/>
    <col min="5373" max="5373" width="5.6640625" style="172" customWidth="1"/>
    <col min="5374" max="5374" width="58.6640625" style="172" bestFit="1" customWidth="1"/>
    <col min="5375" max="5375" width="11.5" style="172" bestFit="1" customWidth="1"/>
    <col min="5376" max="5376" width="18.33203125" style="172" bestFit="1" customWidth="1"/>
    <col min="5377" max="5377" width="9.1640625" style="172"/>
    <col min="5378" max="5379" width="0" style="172" hidden="1" customWidth="1"/>
    <col min="5380" max="5628" width="9.1640625" style="172"/>
    <col min="5629" max="5629" width="5.6640625" style="172" customWidth="1"/>
    <col min="5630" max="5630" width="58.6640625" style="172" bestFit="1" customWidth="1"/>
    <col min="5631" max="5631" width="11.5" style="172" bestFit="1" customWidth="1"/>
    <col min="5632" max="5632" width="18.33203125" style="172" bestFit="1" customWidth="1"/>
    <col min="5633" max="5633" width="9.1640625" style="172"/>
    <col min="5634" max="5635" width="0" style="172" hidden="1" customWidth="1"/>
    <col min="5636" max="5884" width="9.1640625" style="172"/>
    <col min="5885" max="5885" width="5.6640625" style="172" customWidth="1"/>
    <col min="5886" max="5886" width="58.6640625" style="172" bestFit="1" customWidth="1"/>
    <col min="5887" max="5887" width="11.5" style="172" bestFit="1" customWidth="1"/>
    <col min="5888" max="5888" width="18.33203125" style="172" bestFit="1" customWidth="1"/>
    <col min="5889" max="5889" width="9.1640625" style="172"/>
    <col min="5890" max="5891" width="0" style="172" hidden="1" customWidth="1"/>
    <col min="5892" max="6140" width="9.1640625" style="172"/>
    <col min="6141" max="6141" width="5.6640625" style="172" customWidth="1"/>
    <col min="6142" max="6142" width="58.6640625" style="172" bestFit="1" customWidth="1"/>
    <col min="6143" max="6143" width="11.5" style="172" bestFit="1" customWidth="1"/>
    <col min="6144" max="6144" width="18.33203125" style="172" bestFit="1" customWidth="1"/>
    <col min="6145" max="6145" width="9.1640625" style="172"/>
    <col min="6146" max="6147" width="0" style="172" hidden="1" customWidth="1"/>
    <col min="6148" max="6396" width="9.1640625" style="172"/>
    <col min="6397" max="6397" width="5.6640625" style="172" customWidth="1"/>
    <col min="6398" max="6398" width="58.6640625" style="172" bestFit="1" customWidth="1"/>
    <col min="6399" max="6399" width="11.5" style="172" bestFit="1" customWidth="1"/>
    <col min="6400" max="6400" width="18.33203125" style="172" bestFit="1" customWidth="1"/>
    <col min="6401" max="6401" width="9.1640625" style="172"/>
    <col min="6402" max="6403" width="0" style="172" hidden="1" customWidth="1"/>
    <col min="6404" max="6652" width="9.1640625" style="172"/>
    <col min="6653" max="6653" width="5.6640625" style="172" customWidth="1"/>
    <col min="6654" max="6654" width="58.6640625" style="172" bestFit="1" customWidth="1"/>
    <col min="6655" max="6655" width="11.5" style="172" bestFit="1" customWidth="1"/>
    <col min="6656" max="6656" width="18.33203125" style="172" bestFit="1" customWidth="1"/>
    <col min="6657" max="6657" width="9.1640625" style="172"/>
    <col min="6658" max="6659" width="0" style="172" hidden="1" customWidth="1"/>
    <col min="6660" max="6908" width="9.1640625" style="172"/>
    <col min="6909" max="6909" width="5.6640625" style="172" customWidth="1"/>
    <col min="6910" max="6910" width="58.6640625" style="172" bestFit="1" customWidth="1"/>
    <col min="6911" max="6911" width="11.5" style="172" bestFit="1" customWidth="1"/>
    <col min="6912" max="6912" width="18.33203125" style="172" bestFit="1" customWidth="1"/>
    <col min="6913" max="6913" width="9.1640625" style="172"/>
    <col min="6914" max="6915" width="0" style="172" hidden="1" customWidth="1"/>
    <col min="6916" max="7164" width="9.1640625" style="172"/>
    <col min="7165" max="7165" width="5.6640625" style="172" customWidth="1"/>
    <col min="7166" max="7166" width="58.6640625" style="172" bestFit="1" customWidth="1"/>
    <col min="7167" max="7167" width="11.5" style="172" bestFit="1" customWidth="1"/>
    <col min="7168" max="7168" width="18.33203125" style="172" bestFit="1" customWidth="1"/>
    <col min="7169" max="7169" width="9.1640625" style="172"/>
    <col min="7170" max="7171" width="0" style="172" hidden="1" customWidth="1"/>
    <col min="7172" max="7420" width="9.1640625" style="172"/>
    <col min="7421" max="7421" width="5.6640625" style="172" customWidth="1"/>
    <col min="7422" max="7422" width="58.6640625" style="172" bestFit="1" customWidth="1"/>
    <col min="7423" max="7423" width="11.5" style="172" bestFit="1" customWidth="1"/>
    <col min="7424" max="7424" width="18.33203125" style="172" bestFit="1" customWidth="1"/>
    <col min="7425" max="7425" width="9.1640625" style="172"/>
    <col min="7426" max="7427" width="0" style="172" hidden="1" customWidth="1"/>
    <col min="7428" max="7676" width="9.1640625" style="172"/>
    <col min="7677" max="7677" width="5.6640625" style="172" customWidth="1"/>
    <col min="7678" max="7678" width="58.6640625" style="172" bestFit="1" customWidth="1"/>
    <col min="7679" max="7679" width="11.5" style="172" bestFit="1" customWidth="1"/>
    <col min="7680" max="7680" width="18.33203125" style="172" bestFit="1" customWidth="1"/>
    <col min="7681" max="7681" width="9.1640625" style="172"/>
    <col min="7682" max="7683" width="0" style="172" hidden="1" customWidth="1"/>
    <col min="7684" max="7932" width="9.1640625" style="172"/>
    <col min="7933" max="7933" width="5.6640625" style="172" customWidth="1"/>
    <col min="7934" max="7934" width="58.6640625" style="172" bestFit="1" customWidth="1"/>
    <col min="7935" max="7935" width="11.5" style="172" bestFit="1" customWidth="1"/>
    <col min="7936" max="7936" width="18.33203125" style="172" bestFit="1" customWidth="1"/>
    <col min="7937" max="7937" width="9.1640625" style="172"/>
    <col min="7938" max="7939" width="0" style="172" hidden="1" customWidth="1"/>
    <col min="7940" max="8188" width="9.1640625" style="172"/>
    <col min="8189" max="8189" width="5.6640625" style="172" customWidth="1"/>
    <col min="8190" max="8190" width="58.6640625" style="172" bestFit="1" customWidth="1"/>
    <col min="8191" max="8191" width="11.5" style="172" bestFit="1" customWidth="1"/>
    <col min="8192" max="8192" width="18.33203125" style="172" bestFit="1" customWidth="1"/>
    <col min="8193" max="8193" width="9.1640625" style="172"/>
    <col min="8194" max="8195" width="0" style="172" hidden="1" customWidth="1"/>
    <col min="8196" max="8444" width="9.1640625" style="172"/>
    <col min="8445" max="8445" width="5.6640625" style="172" customWidth="1"/>
    <col min="8446" max="8446" width="58.6640625" style="172" bestFit="1" customWidth="1"/>
    <col min="8447" max="8447" width="11.5" style="172" bestFit="1" customWidth="1"/>
    <col min="8448" max="8448" width="18.33203125" style="172" bestFit="1" customWidth="1"/>
    <col min="8449" max="8449" width="9.1640625" style="172"/>
    <col min="8450" max="8451" width="0" style="172" hidden="1" customWidth="1"/>
    <col min="8452" max="8700" width="9.1640625" style="172"/>
    <col min="8701" max="8701" width="5.6640625" style="172" customWidth="1"/>
    <col min="8702" max="8702" width="58.6640625" style="172" bestFit="1" customWidth="1"/>
    <col min="8703" max="8703" width="11.5" style="172" bestFit="1" customWidth="1"/>
    <col min="8704" max="8704" width="18.33203125" style="172" bestFit="1" customWidth="1"/>
    <col min="8705" max="8705" width="9.1640625" style="172"/>
    <col min="8706" max="8707" width="0" style="172" hidden="1" customWidth="1"/>
    <col min="8708" max="8956" width="9.1640625" style="172"/>
    <col min="8957" max="8957" width="5.6640625" style="172" customWidth="1"/>
    <col min="8958" max="8958" width="58.6640625" style="172" bestFit="1" customWidth="1"/>
    <col min="8959" max="8959" width="11.5" style="172" bestFit="1" customWidth="1"/>
    <col min="8960" max="8960" width="18.33203125" style="172" bestFit="1" customWidth="1"/>
    <col min="8961" max="8961" width="9.1640625" style="172"/>
    <col min="8962" max="8963" width="0" style="172" hidden="1" customWidth="1"/>
    <col min="8964" max="9212" width="9.1640625" style="172"/>
    <col min="9213" max="9213" width="5.6640625" style="172" customWidth="1"/>
    <col min="9214" max="9214" width="58.6640625" style="172" bestFit="1" customWidth="1"/>
    <col min="9215" max="9215" width="11.5" style="172" bestFit="1" customWidth="1"/>
    <col min="9216" max="9216" width="18.33203125" style="172" bestFit="1" customWidth="1"/>
    <col min="9217" max="9217" width="9.1640625" style="172"/>
    <col min="9218" max="9219" width="0" style="172" hidden="1" customWidth="1"/>
    <col min="9220" max="9468" width="9.1640625" style="172"/>
    <col min="9469" max="9469" width="5.6640625" style="172" customWidth="1"/>
    <col min="9470" max="9470" width="58.6640625" style="172" bestFit="1" customWidth="1"/>
    <col min="9471" max="9471" width="11.5" style="172" bestFit="1" customWidth="1"/>
    <col min="9472" max="9472" width="18.33203125" style="172" bestFit="1" customWidth="1"/>
    <col min="9473" max="9473" width="9.1640625" style="172"/>
    <col min="9474" max="9475" width="0" style="172" hidden="1" customWidth="1"/>
    <col min="9476" max="9724" width="9.1640625" style="172"/>
    <col min="9725" max="9725" width="5.6640625" style="172" customWidth="1"/>
    <col min="9726" max="9726" width="58.6640625" style="172" bestFit="1" customWidth="1"/>
    <col min="9727" max="9727" width="11.5" style="172" bestFit="1" customWidth="1"/>
    <col min="9728" max="9728" width="18.33203125" style="172" bestFit="1" customWidth="1"/>
    <col min="9729" max="9729" width="9.1640625" style="172"/>
    <col min="9730" max="9731" width="0" style="172" hidden="1" customWidth="1"/>
    <col min="9732" max="9980" width="9.1640625" style="172"/>
    <col min="9981" max="9981" width="5.6640625" style="172" customWidth="1"/>
    <col min="9982" max="9982" width="58.6640625" style="172" bestFit="1" customWidth="1"/>
    <col min="9983" max="9983" width="11.5" style="172" bestFit="1" customWidth="1"/>
    <col min="9984" max="9984" width="18.33203125" style="172" bestFit="1" customWidth="1"/>
    <col min="9985" max="9985" width="9.1640625" style="172"/>
    <col min="9986" max="9987" width="0" style="172" hidden="1" customWidth="1"/>
    <col min="9988" max="10236" width="9.1640625" style="172"/>
    <col min="10237" max="10237" width="5.6640625" style="172" customWidth="1"/>
    <col min="10238" max="10238" width="58.6640625" style="172" bestFit="1" customWidth="1"/>
    <col min="10239" max="10239" width="11.5" style="172" bestFit="1" customWidth="1"/>
    <col min="10240" max="10240" width="18.33203125" style="172" bestFit="1" customWidth="1"/>
    <col min="10241" max="10241" width="9.1640625" style="172"/>
    <col min="10242" max="10243" width="0" style="172" hidden="1" customWidth="1"/>
    <col min="10244" max="10492" width="9.1640625" style="172"/>
    <col min="10493" max="10493" width="5.6640625" style="172" customWidth="1"/>
    <col min="10494" max="10494" width="58.6640625" style="172" bestFit="1" customWidth="1"/>
    <col min="10495" max="10495" width="11.5" style="172" bestFit="1" customWidth="1"/>
    <col min="10496" max="10496" width="18.33203125" style="172" bestFit="1" customWidth="1"/>
    <col min="10497" max="10497" width="9.1640625" style="172"/>
    <col min="10498" max="10499" width="0" style="172" hidden="1" customWidth="1"/>
    <col min="10500" max="10748" width="9.1640625" style="172"/>
    <col min="10749" max="10749" width="5.6640625" style="172" customWidth="1"/>
    <col min="10750" max="10750" width="58.6640625" style="172" bestFit="1" customWidth="1"/>
    <col min="10751" max="10751" width="11.5" style="172" bestFit="1" customWidth="1"/>
    <col min="10752" max="10752" width="18.33203125" style="172" bestFit="1" customWidth="1"/>
    <col min="10753" max="10753" width="9.1640625" style="172"/>
    <col min="10754" max="10755" width="0" style="172" hidden="1" customWidth="1"/>
    <col min="10756" max="11004" width="9.1640625" style="172"/>
    <col min="11005" max="11005" width="5.6640625" style="172" customWidth="1"/>
    <col min="11006" max="11006" width="58.6640625" style="172" bestFit="1" customWidth="1"/>
    <col min="11007" max="11007" width="11.5" style="172" bestFit="1" customWidth="1"/>
    <col min="11008" max="11008" width="18.33203125" style="172" bestFit="1" customWidth="1"/>
    <col min="11009" max="11009" width="9.1640625" style="172"/>
    <col min="11010" max="11011" width="0" style="172" hidden="1" customWidth="1"/>
    <col min="11012" max="11260" width="9.1640625" style="172"/>
    <col min="11261" max="11261" width="5.6640625" style="172" customWidth="1"/>
    <col min="11262" max="11262" width="58.6640625" style="172" bestFit="1" customWidth="1"/>
    <col min="11263" max="11263" width="11.5" style="172" bestFit="1" customWidth="1"/>
    <col min="11264" max="11264" width="18.33203125" style="172" bestFit="1" customWidth="1"/>
    <col min="11265" max="11265" width="9.1640625" style="172"/>
    <col min="11266" max="11267" width="0" style="172" hidden="1" customWidth="1"/>
    <col min="11268" max="11516" width="9.1640625" style="172"/>
    <col min="11517" max="11517" width="5.6640625" style="172" customWidth="1"/>
    <col min="11518" max="11518" width="58.6640625" style="172" bestFit="1" customWidth="1"/>
    <col min="11519" max="11519" width="11.5" style="172" bestFit="1" customWidth="1"/>
    <col min="11520" max="11520" width="18.33203125" style="172" bestFit="1" customWidth="1"/>
    <col min="11521" max="11521" width="9.1640625" style="172"/>
    <col min="11522" max="11523" width="0" style="172" hidden="1" customWidth="1"/>
    <col min="11524" max="11772" width="9.1640625" style="172"/>
    <col min="11773" max="11773" width="5.6640625" style="172" customWidth="1"/>
    <col min="11774" max="11774" width="58.6640625" style="172" bestFit="1" customWidth="1"/>
    <col min="11775" max="11775" width="11.5" style="172" bestFit="1" customWidth="1"/>
    <col min="11776" max="11776" width="18.33203125" style="172" bestFit="1" customWidth="1"/>
    <col min="11777" max="11777" width="9.1640625" style="172"/>
    <col min="11778" max="11779" width="0" style="172" hidden="1" customWidth="1"/>
    <col min="11780" max="12028" width="9.1640625" style="172"/>
    <col min="12029" max="12029" width="5.6640625" style="172" customWidth="1"/>
    <col min="12030" max="12030" width="58.6640625" style="172" bestFit="1" customWidth="1"/>
    <col min="12031" max="12031" width="11.5" style="172" bestFit="1" customWidth="1"/>
    <col min="12032" max="12032" width="18.33203125" style="172" bestFit="1" customWidth="1"/>
    <col min="12033" max="12033" width="9.1640625" style="172"/>
    <col min="12034" max="12035" width="0" style="172" hidden="1" customWidth="1"/>
    <col min="12036" max="12284" width="9.1640625" style="172"/>
    <col min="12285" max="12285" width="5.6640625" style="172" customWidth="1"/>
    <col min="12286" max="12286" width="58.6640625" style="172" bestFit="1" customWidth="1"/>
    <col min="12287" max="12287" width="11.5" style="172" bestFit="1" customWidth="1"/>
    <col min="12288" max="12288" width="18.33203125" style="172" bestFit="1" customWidth="1"/>
    <col min="12289" max="12289" width="9.1640625" style="172"/>
    <col min="12290" max="12291" width="0" style="172" hidden="1" customWidth="1"/>
    <col min="12292" max="12540" width="9.1640625" style="172"/>
    <col min="12541" max="12541" width="5.6640625" style="172" customWidth="1"/>
    <col min="12542" max="12542" width="58.6640625" style="172" bestFit="1" customWidth="1"/>
    <col min="12543" max="12543" width="11.5" style="172" bestFit="1" customWidth="1"/>
    <col min="12544" max="12544" width="18.33203125" style="172" bestFit="1" customWidth="1"/>
    <col min="12545" max="12545" width="9.1640625" style="172"/>
    <col min="12546" max="12547" width="0" style="172" hidden="1" customWidth="1"/>
    <col min="12548" max="12796" width="9.1640625" style="172"/>
    <col min="12797" max="12797" width="5.6640625" style="172" customWidth="1"/>
    <col min="12798" max="12798" width="58.6640625" style="172" bestFit="1" customWidth="1"/>
    <col min="12799" max="12799" width="11.5" style="172" bestFit="1" customWidth="1"/>
    <col min="12800" max="12800" width="18.33203125" style="172" bestFit="1" customWidth="1"/>
    <col min="12801" max="12801" width="9.1640625" style="172"/>
    <col min="12802" max="12803" width="0" style="172" hidden="1" customWidth="1"/>
    <col min="12804" max="13052" width="9.1640625" style="172"/>
    <col min="13053" max="13053" width="5.6640625" style="172" customWidth="1"/>
    <col min="13054" max="13054" width="58.6640625" style="172" bestFit="1" customWidth="1"/>
    <col min="13055" max="13055" width="11.5" style="172" bestFit="1" customWidth="1"/>
    <col min="13056" max="13056" width="18.33203125" style="172" bestFit="1" customWidth="1"/>
    <col min="13057" max="13057" width="9.1640625" style="172"/>
    <col min="13058" max="13059" width="0" style="172" hidden="1" customWidth="1"/>
    <col min="13060" max="13308" width="9.1640625" style="172"/>
    <col min="13309" max="13309" width="5.6640625" style="172" customWidth="1"/>
    <col min="13310" max="13310" width="58.6640625" style="172" bestFit="1" customWidth="1"/>
    <col min="13311" max="13311" width="11.5" style="172" bestFit="1" customWidth="1"/>
    <col min="13312" max="13312" width="18.33203125" style="172" bestFit="1" customWidth="1"/>
    <col min="13313" max="13313" width="9.1640625" style="172"/>
    <col min="13314" max="13315" width="0" style="172" hidden="1" customWidth="1"/>
    <col min="13316" max="13564" width="9.1640625" style="172"/>
    <col min="13565" max="13565" width="5.6640625" style="172" customWidth="1"/>
    <col min="13566" max="13566" width="58.6640625" style="172" bestFit="1" customWidth="1"/>
    <col min="13567" max="13567" width="11.5" style="172" bestFit="1" customWidth="1"/>
    <col min="13568" max="13568" width="18.33203125" style="172" bestFit="1" customWidth="1"/>
    <col min="13569" max="13569" width="9.1640625" style="172"/>
    <col min="13570" max="13571" width="0" style="172" hidden="1" customWidth="1"/>
    <col min="13572" max="13820" width="9.1640625" style="172"/>
    <col min="13821" max="13821" width="5.6640625" style="172" customWidth="1"/>
    <col min="13822" max="13822" width="58.6640625" style="172" bestFit="1" customWidth="1"/>
    <col min="13823" max="13823" width="11.5" style="172" bestFit="1" customWidth="1"/>
    <col min="13824" max="13824" width="18.33203125" style="172" bestFit="1" customWidth="1"/>
    <col min="13825" max="13825" width="9.1640625" style="172"/>
    <col min="13826" max="13827" width="0" style="172" hidden="1" customWidth="1"/>
    <col min="13828" max="14076" width="9.1640625" style="172"/>
    <col min="14077" max="14077" width="5.6640625" style="172" customWidth="1"/>
    <col min="14078" max="14078" width="58.6640625" style="172" bestFit="1" customWidth="1"/>
    <col min="14079" max="14079" width="11.5" style="172" bestFit="1" customWidth="1"/>
    <col min="14080" max="14080" width="18.33203125" style="172" bestFit="1" customWidth="1"/>
    <col min="14081" max="14081" width="9.1640625" style="172"/>
    <col min="14082" max="14083" width="0" style="172" hidden="1" customWidth="1"/>
    <col min="14084" max="14332" width="9.1640625" style="172"/>
    <col min="14333" max="14333" width="5.6640625" style="172" customWidth="1"/>
    <col min="14334" max="14334" width="58.6640625" style="172" bestFit="1" customWidth="1"/>
    <col min="14335" max="14335" width="11.5" style="172" bestFit="1" customWidth="1"/>
    <col min="14336" max="14336" width="18.33203125" style="172" bestFit="1" customWidth="1"/>
    <col min="14337" max="14337" width="9.1640625" style="172"/>
    <col min="14338" max="14339" width="0" style="172" hidden="1" customWidth="1"/>
    <col min="14340" max="14588" width="9.1640625" style="172"/>
    <col min="14589" max="14589" width="5.6640625" style="172" customWidth="1"/>
    <col min="14590" max="14590" width="58.6640625" style="172" bestFit="1" customWidth="1"/>
    <col min="14591" max="14591" width="11.5" style="172" bestFit="1" customWidth="1"/>
    <col min="14592" max="14592" width="18.33203125" style="172" bestFit="1" customWidth="1"/>
    <col min="14593" max="14593" width="9.1640625" style="172"/>
    <col min="14594" max="14595" width="0" style="172" hidden="1" customWidth="1"/>
    <col min="14596" max="14844" width="9.1640625" style="172"/>
    <col min="14845" max="14845" width="5.6640625" style="172" customWidth="1"/>
    <col min="14846" max="14846" width="58.6640625" style="172" bestFit="1" customWidth="1"/>
    <col min="14847" max="14847" width="11.5" style="172" bestFit="1" customWidth="1"/>
    <col min="14848" max="14848" width="18.33203125" style="172" bestFit="1" customWidth="1"/>
    <col min="14849" max="14849" width="9.1640625" style="172"/>
    <col min="14850" max="14851" width="0" style="172" hidden="1" customWidth="1"/>
    <col min="14852" max="15100" width="9.1640625" style="172"/>
    <col min="15101" max="15101" width="5.6640625" style="172" customWidth="1"/>
    <col min="15102" max="15102" width="58.6640625" style="172" bestFit="1" customWidth="1"/>
    <col min="15103" max="15103" width="11.5" style="172" bestFit="1" customWidth="1"/>
    <col min="15104" max="15104" width="18.33203125" style="172" bestFit="1" customWidth="1"/>
    <col min="15105" max="15105" width="9.1640625" style="172"/>
    <col min="15106" max="15107" width="0" style="172" hidden="1" customWidth="1"/>
    <col min="15108" max="15356" width="9.1640625" style="172"/>
    <col min="15357" max="15357" width="5.6640625" style="172" customWidth="1"/>
    <col min="15358" max="15358" width="58.6640625" style="172" bestFit="1" customWidth="1"/>
    <col min="15359" max="15359" width="11.5" style="172" bestFit="1" customWidth="1"/>
    <col min="15360" max="15360" width="18.33203125" style="172" bestFit="1" customWidth="1"/>
    <col min="15361" max="15361" width="9.1640625" style="172"/>
    <col min="15362" max="15363" width="0" style="172" hidden="1" customWidth="1"/>
    <col min="15364" max="15612" width="9.1640625" style="172"/>
    <col min="15613" max="15613" width="5.6640625" style="172" customWidth="1"/>
    <col min="15614" max="15614" width="58.6640625" style="172" bestFit="1" customWidth="1"/>
    <col min="15615" max="15615" width="11.5" style="172" bestFit="1" customWidth="1"/>
    <col min="15616" max="15616" width="18.33203125" style="172" bestFit="1" customWidth="1"/>
    <col min="15617" max="15617" width="9.1640625" style="172"/>
    <col min="15618" max="15619" width="0" style="172" hidden="1" customWidth="1"/>
    <col min="15620" max="15868" width="9.1640625" style="172"/>
    <col min="15869" max="15869" width="5.6640625" style="172" customWidth="1"/>
    <col min="15870" max="15870" width="58.6640625" style="172" bestFit="1" customWidth="1"/>
    <col min="15871" max="15871" width="11.5" style="172" bestFit="1" customWidth="1"/>
    <col min="15872" max="15872" width="18.33203125" style="172" bestFit="1" customWidth="1"/>
    <col min="15873" max="15873" width="9.1640625" style="172"/>
    <col min="15874" max="15875" width="0" style="172" hidden="1" customWidth="1"/>
    <col min="15876" max="16124" width="9.1640625" style="172"/>
    <col min="16125" max="16125" width="5.6640625" style="172" customWidth="1"/>
    <col min="16126" max="16126" width="58.6640625" style="172" bestFit="1" customWidth="1"/>
    <col min="16127" max="16127" width="11.5" style="172" bestFit="1" customWidth="1"/>
    <col min="16128" max="16128" width="18.33203125" style="172" bestFit="1" customWidth="1"/>
    <col min="16129" max="16129" width="9.1640625" style="172"/>
    <col min="16130" max="16131" width="0" style="172" hidden="1" customWidth="1"/>
    <col min="16132" max="16384" width="9.1640625" style="172"/>
  </cols>
  <sheetData>
    <row r="1" spans="1:43">
      <c r="A1" s="226" t="s">
        <v>22</v>
      </c>
      <c r="B1" s="226"/>
      <c r="C1" s="226"/>
      <c r="D1" s="226"/>
      <c r="E1" s="226"/>
      <c r="F1" s="226"/>
      <c r="G1" s="226"/>
      <c r="H1" s="226"/>
      <c r="I1" s="226"/>
      <c r="J1" s="226"/>
      <c r="K1" s="226"/>
      <c r="L1" s="226"/>
      <c r="M1" s="226"/>
      <c r="N1" s="226"/>
      <c r="O1" s="2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row>
    <row r="2" spans="1:43">
      <c r="A2" s="449" t="str">
        <f>'Rate Change Calc'!A2:E2</f>
        <v>2016 Gas Decoupling Filing</v>
      </c>
      <c r="B2" s="449"/>
      <c r="C2" s="449"/>
      <c r="D2" s="449"/>
      <c r="E2" s="449"/>
      <c r="F2" s="449"/>
      <c r="G2" s="449"/>
      <c r="H2" s="449"/>
      <c r="I2" s="449"/>
      <c r="J2" s="449"/>
      <c r="K2" s="449"/>
      <c r="L2" s="449"/>
      <c r="M2" s="449"/>
      <c r="N2" s="449"/>
      <c r="O2" s="449"/>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row>
    <row r="3" spans="1:43">
      <c r="A3" s="226" t="s">
        <v>197</v>
      </c>
      <c r="B3" s="226"/>
      <c r="C3" s="226"/>
      <c r="D3" s="226"/>
      <c r="E3" s="226"/>
      <c r="F3" s="226"/>
      <c r="G3" s="226"/>
      <c r="H3" s="226"/>
      <c r="I3" s="226"/>
      <c r="J3" s="226"/>
      <c r="K3" s="226"/>
      <c r="L3" s="226"/>
      <c r="M3" s="226"/>
      <c r="N3" s="226"/>
      <c r="O3" s="2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row>
    <row r="4" spans="1:43" s="326" customFormat="1">
      <c r="A4" s="449" t="str">
        <f>'Rate Change Calc'!A4:E4</f>
        <v>Proposed Effective May 1, 2016</v>
      </c>
      <c r="B4" s="449"/>
      <c r="C4" s="449"/>
      <c r="D4" s="449"/>
      <c r="E4" s="449"/>
      <c r="F4" s="449"/>
      <c r="G4" s="449"/>
      <c r="H4" s="449"/>
      <c r="I4" s="449"/>
      <c r="J4" s="449"/>
      <c r="K4" s="449"/>
      <c r="L4" s="449"/>
      <c r="M4" s="449"/>
      <c r="N4" s="449"/>
      <c r="O4" s="449"/>
    </row>
    <row r="5" spans="1:43" s="326" customFormat="1">
      <c r="A5" s="595"/>
      <c r="B5" s="595"/>
      <c r="C5" s="595"/>
      <c r="D5" s="595"/>
      <c r="E5" s="595"/>
      <c r="F5" s="595"/>
      <c r="G5" s="595"/>
      <c r="H5" s="595"/>
      <c r="I5" s="595"/>
      <c r="J5" s="595"/>
      <c r="K5" s="595"/>
      <c r="L5" s="595"/>
      <c r="M5" s="595"/>
      <c r="N5" s="595"/>
      <c r="O5" s="595"/>
    </row>
    <row r="6" spans="1:43">
      <c r="A6" s="326"/>
      <c r="B6" s="326"/>
      <c r="C6" s="322"/>
      <c r="D6" s="322"/>
      <c r="E6" s="326"/>
      <c r="G6" s="326"/>
      <c r="H6" s="326"/>
      <c r="I6" s="326"/>
      <c r="J6" s="448" t="s">
        <v>198</v>
      </c>
      <c r="K6" s="448" t="s">
        <v>198</v>
      </c>
      <c r="L6" s="448" t="s">
        <v>198</v>
      </c>
      <c r="M6" s="448" t="s">
        <v>198</v>
      </c>
      <c r="N6" s="448" t="s">
        <v>198</v>
      </c>
      <c r="O6" s="448" t="s">
        <v>198</v>
      </c>
      <c r="P6" s="448" t="s">
        <v>198</v>
      </c>
      <c r="Q6" s="448" t="s">
        <v>198</v>
      </c>
      <c r="R6" s="448" t="s">
        <v>198</v>
      </c>
      <c r="S6" s="448" t="s">
        <v>198</v>
      </c>
      <c r="T6" s="448" t="s">
        <v>198</v>
      </c>
      <c r="U6" s="448" t="s">
        <v>198</v>
      </c>
      <c r="V6" s="448" t="s">
        <v>198</v>
      </c>
      <c r="W6" s="448" t="s">
        <v>198</v>
      </c>
      <c r="X6" s="448" t="s">
        <v>198</v>
      </c>
      <c r="Y6" s="448" t="s">
        <v>198</v>
      </c>
      <c r="Z6" s="448" t="s">
        <v>198</v>
      </c>
      <c r="AA6" s="448" t="s">
        <v>198</v>
      </c>
      <c r="AB6" s="448" t="s">
        <v>198</v>
      </c>
      <c r="AC6" s="448" t="s">
        <v>198</v>
      </c>
      <c r="AD6" s="448" t="s">
        <v>198</v>
      </c>
      <c r="AE6" s="448" t="s">
        <v>198</v>
      </c>
      <c r="AF6" s="448" t="s">
        <v>198</v>
      </c>
      <c r="AG6" s="448" t="s">
        <v>198</v>
      </c>
      <c r="AH6" s="448" t="s">
        <v>198</v>
      </c>
      <c r="AI6" s="448" t="s">
        <v>198</v>
      </c>
      <c r="AJ6" s="448" t="s">
        <v>198</v>
      </c>
      <c r="AK6" s="448" t="s">
        <v>198</v>
      </c>
      <c r="AL6" s="448" t="s">
        <v>198</v>
      </c>
      <c r="AM6" s="448" t="s">
        <v>198</v>
      </c>
      <c r="AN6" s="448" t="s">
        <v>198</v>
      </c>
      <c r="AO6" s="448" t="s">
        <v>198</v>
      </c>
      <c r="AP6" s="448" t="s">
        <v>199</v>
      </c>
      <c r="AQ6" s="448" t="s">
        <v>199</v>
      </c>
    </row>
    <row r="7" spans="1:43" ht="15" customHeight="1">
      <c r="A7" s="326"/>
      <c r="B7" s="326"/>
      <c r="C7" s="179" t="s">
        <v>200</v>
      </c>
      <c r="D7" s="180">
        <v>41275</v>
      </c>
      <c r="E7" s="180">
        <v>41306</v>
      </c>
      <c r="F7" s="180">
        <v>41334</v>
      </c>
      <c r="G7" s="180">
        <v>41365</v>
      </c>
      <c r="H7" s="180">
        <v>41395</v>
      </c>
      <c r="I7" s="180">
        <v>41426</v>
      </c>
      <c r="J7" s="180">
        <v>41456</v>
      </c>
      <c r="K7" s="180">
        <v>41487</v>
      </c>
      <c r="L7" s="180">
        <v>41518</v>
      </c>
      <c r="M7" s="180">
        <v>41548</v>
      </c>
      <c r="N7" s="180">
        <v>41579</v>
      </c>
      <c r="O7" s="180">
        <v>41609</v>
      </c>
      <c r="P7" s="180">
        <v>41640</v>
      </c>
      <c r="Q7" s="180">
        <v>41671</v>
      </c>
      <c r="R7" s="180">
        <v>41699</v>
      </c>
      <c r="S7" s="180">
        <v>41730</v>
      </c>
      <c r="T7" s="180">
        <v>41760</v>
      </c>
      <c r="U7" s="180">
        <v>41791</v>
      </c>
      <c r="V7" s="180">
        <v>41821</v>
      </c>
      <c r="W7" s="180">
        <v>41852</v>
      </c>
      <c r="X7" s="180">
        <v>41883</v>
      </c>
      <c r="Y7" s="180">
        <v>41913</v>
      </c>
      <c r="Z7" s="180">
        <v>41944</v>
      </c>
      <c r="AA7" s="180">
        <v>41974</v>
      </c>
      <c r="AB7" s="180">
        <v>42005</v>
      </c>
      <c r="AC7" s="180">
        <v>42036</v>
      </c>
      <c r="AD7" s="180">
        <v>42064</v>
      </c>
      <c r="AE7" s="180">
        <v>42095</v>
      </c>
      <c r="AF7" s="180">
        <v>42125</v>
      </c>
      <c r="AG7" s="180">
        <v>42156</v>
      </c>
      <c r="AH7" s="180">
        <v>42186</v>
      </c>
      <c r="AI7" s="180">
        <v>42217</v>
      </c>
      <c r="AJ7" s="180">
        <v>42248</v>
      </c>
      <c r="AK7" s="180">
        <v>42278</v>
      </c>
      <c r="AL7" s="180">
        <v>42309</v>
      </c>
      <c r="AM7" s="180">
        <v>42339</v>
      </c>
      <c r="AN7" s="180">
        <v>42370</v>
      </c>
      <c r="AO7" s="180">
        <v>42401</v>
      </c>
      <c r="AP7" s="180">
        <v>42430</v>
      </c>
      <c r="AQ7" s="180">
        <v>42461</v>
      </c>
    </row>
    <row r="8" spans="1:43">
      <c r="A8" s="326"/>
      <c r="B8" s="326"/>
      <c r="C8" s="322"/>
      <c r="D8" s="322"/>
      <c r="E8" s="326"/>
      <c r="F8" s="181"/>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row>
    <row r="9" spans="1:43">
      <c r="A9" s="331" t="s">
        <v>201</v>
      </c>
      <c r="B9" s="326"/>
      <c r="C9" s="306" t="s">
        <v>202</v>
      </c>
      <c r="D9" s="322"/>
      <c r="E9" s="243"/>
      <c r="F9" s="183"/>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row>
    <row r="10" spans="1:43">
      <c r="A10" s="326"/>
      <c r="B10" s="326" t="s">
        <v>203</v>
      </c>
      <c r="C10" s="306">
        <v>25400412</v>
      </c>
      <c r="D10" s="190">
        <v>0</v>
      </c>
      <c r="E10" s="190">
        <f>D14</f>
        <v>0</v>
      </c>
      <c r="F10" s="190">
        <f t="shared" ref="F10:M10" si="0">E14</f>
        <v>0</v>
      </c>
      <c r="G10" s="190">
        <f t="shared" si="0"/>
        <v>0</v>
      </c>
      <c r="H10" s="190">
        <f t="shared" si="0"/>
        <v>0</v>
      </c>
      <c r="I10" s="190">
        <f t="shared" si="0"/>
        <v>0</v>
      </c>
      <c r="J10" s="190">
        <f t="shared" si="0"/>
        <v>0</v>
      </c>
      <c r="K10" s="190">
        <f t="shared" si="0"/>
        <v>0</v>
      </c>
      <c r="L10" s="190">
        <f t="shared" si="0"/>
        <v>0</v>
      </c>
      <c r="M10" s="190">
        <f t="shared" si="0"/>
        <v>0</v>
      </c>
      <c r="N10" s="190">
        <f>M14</f>
        <v>0</v>
      </c>
      <c r="O10" s="190">
        <f>N14</f>
        <v>0</v>
      </c>
      <c r="P10" s="190">
        <f t="shared" ref="P10:AA10" si="1">O14</f>
        <v>0</v>
      </c>
      <c r="Q10" s="190">
        <f t="shared" si="1"/>
        <v>0</v>
      </c>
      <c r="R10" s="190">
        <f t="shared" si="1"/>
        <v>0</v>
      </c>
      <c r="S10" s="190">
        <f t="shared" si="1"/>
        <v>0</v>
      </c>
      <c r="T10" s="190">
        <f t="shared" si="1"/>
        <v>0</v>
      </c>
      <c r="U10" s="190">
        <f t="shared" si="1"/>
        <v>-5222526.7040983113</v>
      </c>
      <c r="V10" s="190">
        <f t="shared" si="1"/>
        <v>-5064939.8606615961</v>
      </c>
      <c r="W10" s="190">
        <f t="shared" si="1"/>
        <v>-4946106.7696486525</v>
      </c>
      <c r="X10" s="190">
        <f t="shared" si="1"/>
        <v>-4836352.1231295196</v>
      </c>
      <c r="Y10" s="190">
        <f t="shared" si="1"/>
        <v>-4701398.4451656453</v>
      </c>
      <c r="Z10" s="190">
        <f t="shared" si="1"/>
        <v>-4453407.2239690805</v>
      </c>
      <c r="AA10" s="190">
        <f t="shared" si="1"/>
        <v>-3824591.1652678656</v>
      </c>
      <c r="AB10" s="190">
        <f t="shared" ref="AB10" si="2">AA14</f>
        <v>-3111835.317659677</v>
      </c>
      <c r="AC10" s="190">
        <f t="shared" ref="AC10" si="3">AB14</f>
        <v>-2429085.1229123641</v>
      </c>
      <c r="AD10" s="190">
        <f t="shared" ref="AD10" si="4">AC14</f>
        <v>-1922536.7854623632</v>
      </c>
      <c r="AE10" s="190">
        <f t="shared" ref="AE10" si="5">AD14</f>
        <v>-1447617.5725841762</v>
      </c>
      <c r="AF10" s="190">
        <f t="shared" ref="AF10" si="6">AE14</f>
        <v>-1048644.2981405864</v>
      </c>
      <c r="AG10" s="190">
        <f t="shared" ref="AG10" si="7">AF14</f>
        <v>10957437.844701342</v>
      </c>
      <c r="AH10" s="190">
        <f t="shared" ref="AH10" si="8">AG14</f>
        <v>10701971.866956672</v>
      </c>
      <c r="AI10" s="190">
        <f t="shared" ref="AI10" si="9">AH14</f>
        <v>10487525.394495903</v>
      </c>
      <c r="AJ10" s="190">
        <f t="shared" ref="AJ10" si="10">AI14</f>
        <v>10257175.922051119</v>
      </c>
      <c r="AK10" s="190">
        <f t="shared" ref="AK10" si="11">AJ14</f>
        <v>9911407.402148664</v>
      </c>
      <c r="AL10" s="190">
        <f t="shared" ref="AL10" si="12">AK14</f>
        <v>9358219.9825485852</v>
      </c>
      <c r="AM10" s="190">
        <f t="shared" ref="AM10" si="13">AL14</f>
        <v>7991077.0738406461</v>
      </c>
      <c r="AN10" s="190">
        <f t="shared" ref="AN10" si="14">AM14</f>
        <v>6351177.060204003</v>
      </c>
      <c r="AO10" s="190">
        <f t="shared" ref="AO10" si="15">AN14</f>
        <v>4707283.1406416912</v>
      </c>
      <c r="AP10" s="190">
        <f t="shared" ref="AP10" si="16">AO14</f>
        <v>3484712.6318692612</v>
      </c>
      <c r="AQ10" s="190">
        <f t="shared" ref="AQ10" si="17">AP14</f>
        <v>2152412.310486801</v>
      </c>
    </row>
    <row r="11" spans="1:43" s="326" customFormat="1">
      <c r="B11" s="238" t="s">
        <v>204</v>
      </c>
      <c r="C11" s="306"/>
      <c r="D11" s="190"/>
      <c r="E11" s="190"/>
      <c r="F11" s="190"/>
      <c r="G11" s="190"/>
      <c r="H11" s="190"/>
      <c r="I11" s="190"/>
      <c r="J11" s="190"/>
      <c r="K11" s="190"/>
      <c r="L11" s="190"/>
      <c r="M11" s="190"/>
      <c r="N11" s="190"/>
      <c r="O11" s="190"/>
      <c r="P11" s="190"/>
      <c r="Q11" s="190"/>
      <c r="R11" s="190"/>
      <c r="S11" s="190"/>
      <c r="T11" s="185">
        <v>-5454930.8074556598</v>
      </c>
      <c r="U11" s="190"/>
      <c r="V11" s="190"/>
      <c r="W11" s="190"/>
      <c r="X11" s="190"/>
      <c r="Y11" s="190"/>
      <c r="Z11" s="190"/>
      <c r="AA11" s="190"/>
      <c r="AB11" s="190"/>
      <c r="AC11" s="190"/>
      <c r="AD11" s="190"/>
      <c r="AE11" s="190"/>
      <c r="AF11" s="475">
        <v>12484587.894814277</v>
      </c>
      <c r="AG11" s="190"/>
      <c r="AH11" s="190"/>
      <c r="AI11" s="190"/>
      <c r="AJ11" s="190"/>
      <c r="AK11" s="190"/>
      <c r="AL11" s="190"/>
      <c r="AM11" s="190"/>
      <c r="AN11" s="190"/>
      <c r="AO11" s="190"/>
      <c r="AP11" s="190"/>
      <c r="AQ11" s="190"/>
    </row>
    <row r="12" spans="1:43">
      <c r="A12" s="326"/>
      <c r="B12" s="238" t="s">
        <v>205</v>
      </c>
      <c r="C12" s="322"/>
      <c r="D12" s="185">
        <v>0</v>
      </c>
      <c r="E12" s="185">
        <v>0</v>
      </c>
      <c r="F12" s="185">
        <v>0</v>
      </c>
      <c r="G12" s="185">
        <v>0</v>
      </c>
      <c r="H12" s="185">
        <v>0</v>
      </c>
      <c r="I12" s="185">
        <v>0</v>
      </c>
      <c r="J12" s="185">
        <v>0</v>
      </c>
      <c r="K12" s="185">
        <v>0</v>
      </c>
      <c r="L12" s="185">
        <v>0</v>
      </c>
      <c r="M12" s="185">
        <v>0</v>
      </c>
      <c r="N12" s="185">
        <v>0</v>
      </c>
      <c r="O12" s="185">
        <v>0</v>
      </c>
      <c r="P12" s="185">
        <v>0</v>
      </c>
      <c r="Q12" s="185">
        <v>0</v>
      </c>
      <c r="R12" s="185">
        <v>0</v>
      </c>
      <c r="S12" s="185">
        <v>0</v>
      </c>
      <c r="T12" s="447">
        <v>232404.10335734897</v>
      </c>
      <c r="U12" s="447">
        <v>157586.84343671499</v>
      </c>
      <c r="V12" s="447">
        <v>118833.09101294399</v>
      </c>
      <c r="W12" s="447">
        <v>109754.64651913299</v>
      </c>
      <c r="X12" s="447">
        <v>134953.67796387398</v>
      </c>
      <c r="Y12" s="447">
        <v>247991.22119656496</v>
      </c>
      <c r="Z12" s="447">
        <v>628816.05870121496</v>
      </c>
      <c r="AA12" s="447">
        <v>712755.84760818887</v>
      </c>
      <c r="AB12" s="307">
        <f>-'Res Deferral Calc 2015'!C41</f>
        <v>682750.19474731293</v>
      </c>
      <c r="AC12" s="307">
        <f>-'Res Deferral Calc 2015'!D41</f>
        <v>506548.33745000092</v>
      </c>
      <c r="AD12" s="307">
        <f>-'Res Deferral Calc 2015'!E41</f>
        <v>474919.21287818695</v>
      </c>
      <c r="AE12" s="307">
        <f>-'Res Deferral Calc 2015'!F41</f>
        <v>398973.27444358997</v>
      </c>
      <c r="AF12" s="307">
        <f>-'Res Deferral Calc 2015'!G41</f>
        <v>-478505.75197234703</v>
      </c>
      <c r="AG12" s="307">
        <f>-'Res Deferral Calc 2015'!H41</f>
        <v>-255465.97774466997</v>
      </c>
      <c r="AH12" s="307">
        <f>-'Res Deferral Calc 2015'!I41</f>
        <v>-214446.47246076999</v>
      </c>
      <c r="AI12" s="307">
        <f>-'Res Deferral Calc 2015'!J41</f>
        <v>-230349.47244478401</v>
      </c>
      <c r="AJ12" s="307">
        <f>-'Res Deferral Calc 2015'!K41</f>
        <v>-345768.51990245399</v>
      </c>
      <c r="AK12" s="307">
        <f>-'Res Deferral Calc 2015'!L41</f>
        <v>-553187.41960007907</v>
      </c>
      <c r="AL12" s="307">
        <f>-'Res Deferral Calc 2015'!M41</f>
        <v>-1367142.9087079391</v>
      </c>
      <c r="AM12" s="307">
        <f>-'Res Deferral Calc 2015'!N41</f>
        <v>-1639900.0136366431</v>
      </c>
      <c r="AN12" s="447">
        <v>-1643893.9195623118</v>
      </c>
      <c r="AO12" s="447">
        <v>-1222570.5087724302</v>
      </c>
      <c r="AP12" s="307">
        <f>-'Amort Estimate'!D15</f>
        <v>-1332300.32138246</v>
      </c>
      <c r="AQ12" s="307">
        <f>-'Amort Estimate'!E15</f>
        <v>-933142.44120803301</v>
      </c>
    </row>
    <row r="13" spans="1:43">
      <c r="A13" s="326"/>
      <c r="B13" s="326" t="s">
        <v>206</v>
      </c>
      <c r="C13" s="322"/>
      <c r="D13" s="186">
        <f t="shared" ref="D13:S13" si="18">SUM(D12:D12)</f>
        <v>0</v>
      </c>
      <c r="E13" s="186">
        <f t="shared" si="18"/>
        <v>0</v>
      </c>
      <c r="F13" s="186">
        <f t="shared" si="18"/>
        <v>0</v>
      </c>
      <c r="G13" s="186">
        <f t="shared" si="18"/>
        <v>0</v>
      </c>
      <c r="H13" s="186">
        <f t="shared" si="18"/>
        <v>0</v>
      </c>
      <c r="I13" s="186">
        <f t="shared" si="18"/>
        <v>0</v>
      </c>
      <c r="J13" s="186">
        <f t="shared" si="18"/>
        <v>0</v>
      </c>
      <c r="K13" s="186">
        <f t="shared" si="18"/>
        <v>0</v>
      </c>
      <c r="L13" s="186">
        <f t="shared" si="18"/>
        <v>0</v>
      </c>
      <c r="M13" s="186">
        <f t="shared" si="18"/>
        <v>0</v>
      </c>
      <c r="N13" s="186">
        <f t="shared" si="18"/>
        <v>0</v>
      </c>
      <c r="O13" s="186">
        <f t="shared" si="18"/>
        <v>0</v>
      </c>
      <c r="P13" s="186">
        <f t="shared" si="18"/>
        <v>0</v>
      </c>
      <c r="Q13" s="186">
        <f t="shared" si="18"/>
        <v>0</v>
      </c>
      <c r="R13" s="186">
        <f t="shared" si="18"/>
        <v>0</v>
      </c>
      <c r="S13" s="186">
        <f t="shared" si="18"/>
        <v>0</v>
      </c>
      <c r="T13" s="186">
        <f>SUM(T11:T12)</f>
        <v>-5222526.7040983113</v>
      </c>
      <c r="U13" s="186">
        <f t="shared" ref="U13:AM13" si="19">SUM(U11:U12)</f>
        <v>157586.84343671499</v>
      </c>
      <c r="V13" s="186">
        <f t="shared" si="19"/>
        <v>118833.09101294399</v>
      </c>
      <c r="W13" s="186">
        <f t="shared" si="19"/>
        <v>109754.64651913299</v>
      </c>
      <c r="X13" s="186">
        <f t="shared" si="19"/>
        <v>134953.67796387398</v>
      </c>
      <c r="Y13" s="186">
        <f t="shared" si="19"/>
        <v>247991.22119656496</v>
      </c>
      <c r="Z13" s="186">
        <f t="shared" si="19"/>
        <v>628816.05870121496</v>
      </c>
      <c r="AA13" s="186">
        <f t="shared" si="19"/>
        <v>712755.84760818887</v>
      </c>
      <c r="AB13" s="186">
        <f t="shared" si="19"/>
        <v>682750.19474731293</v>
      </c>
      <c r="AC13" s="186">
        <f t="shared" si="19"/>
        <v>506548.33745000092</v>
      </c>
      <c r="AD13" s="186">
        <f t="shared" si="19"/>
        <v>474919.21287818695</v>
      </c>
      <c r="AE13" s="186">
        <f t="shared" si="19"/>
        <v>398973.27444358997</v>
      </c>
      <c r="AF13" s="186">
        <f t="shared" si="19"/>
        <v>12006082.14284193</v>
      </c>
      <c r="AG13" s="186">
        <f t="shared" si="19"/>
        <v>-255465.97774466997</v>
      </c>
      <c r="AH13" s="186">
        <f t="shared" si="19"/>
        <v>-214446.47246076999</v>
      </c>
      <c r="AI13" s="186">
        <f t="shared" si="19"/>
        <v>-230349.47244478401</v>
      </c>
      <c r="AJ13" s="186">
        <f t="shared" si="19"/>
        <v>-345768.51990245399</v>
      </c>
      <c r="AK13" s="186">
        <f t="shared" si="19"/>
        <v>-553187.41960007907</v>
      </c>
      <c r="AL13" s="186">
        <f t="shared" si="19"/>
        <v>-1367142.9087079391</v>
      </c>
      <c r="AM13" s="186">
        <f t="shared" si="19"/>
        <v>-1639900.0136366431</v>
      </c>
      <c r="AN13" s="186">
        <f t="shared" ref="AN13" si="20">SUM(AN11:AN12)</f>
        <v>-1643893.9195623118</v>
      </c>
      <c r="AO13" s="186">
        <f t="shared" ref="AO13" si="21">SUM(AO11:AO12)</f>
        <v>-1222570.5087724302</v>
      </c>
      <c r="AP13" s="186">
        <f t="shared" ref="AP13" si="22">SUM(AP11:AP12)</f>
        <v>-1332300.32138246</v>
      </c>
      <c r="AQ13" s="186">
        <f t="shared" ref="AQ13" si="23">SUM(AQ11:AQ12)</f>
        <v>-933142.44120803301</v>
      </c>
    </row>
    <row r="14" spans="1:43">
      <c r="A14" s="326"/>
      <c r="B14" s="326" t="s">
        <v>207</v>
      </c>
      <c r="C14" s="322"/>
      <c r="D14" s="190">
        <f t="shared" ref="D14:AA14" si="24">D10+D13</f>
        <v>0</v>
      </c>
      <c r="E14" s="190">
        <f t="shared" si="24"/>
        <v>0</v>
      </c>
      <c r="F14" s="190">
        <f t="shared" si="24"/>
        <v>0</v>
      </c>
      <c r="G14" s="190">
        <f t="shared" si="24"/>
        <v>0</v>
      </c>
      <c r="H14" s="190">
        <f t="shared" si="24"/>
        <v>0</v>
      </c>
      <c r="I14" s="190">
        <f t="shared" si="24"/>
        <v>0</v>
      </c>
      <c r="J14" s="190">
        <f t="shared" si="24"/>
        <v>0</v>
      </c>
      <c r="K14" s="190">
        <f t="shared" si="24"/>
        <v>0</v>
      </c>
      <c r="L14" s="190">
        <f t="shared" si="24"/>
        <v>0</v>
      </c>
      <c r="M14" s="190">
        <f t="shared" si="24"/>
        <v>0</v>
      </c>
      <c r="N14" s="190">
        <f t="shared" si="24"/>
        <v>0</v>
      </c>
      <c r="O14" s="190">
        <f t="shared" si="24"/>
        <v>0</v>
      </c>
      <c r="P14" s="190">
        <f t="shared" si="24"/>
        <v>0</v>
      </c>
      <c r="Q14" s="190">
        <f t="shared" si="24"/>
        <v>0</v>
      </c>
      <c r="R14" s="190">
        <f t="shared" si="24"/>
        <v>0</v>
      </c>
      <c r="S14" s="190">
        <f t="shared" si="24"/>
        <v>0</v>
      </c>
      <c r="T14" s="190">
        <f t="shared" si="24"/>
        <v>-5222526.7040983113</v>
      </c>
      <c r="U14" s="190">
        <f t="shared" si="24"/>
        <v>-5064939.8606615961</v>
      </c>
      <c r="V14" s="190">
        <f t="shared" si="24"/>
        <v>-4946106.7696486525</v>
      </c>
      <c r="W14" s="190">
        <f t="shared" si="24"/>
        <v>-4836352.1231295196</v>
      </c>
      <c r="X14" s="190">
        <f t="shared" si="24"/>
        <v>-4701398.4451656453</v>
      </c>
      <c r="Y14" s="190">
        <f t="shared" si="24"/>
        <v>-4453407.2239690805</v>
      </c>
      <c r="Z14" s="190">
        <f t="shared" si="24"/>
        <v>-3824591.1652678656</v>
      </c>
      <c r="AA14" s="190">
        <f t="shared" si="24"/>
        <v>-3111835.317659677</v>
      </c>
      <c r="AB14" s="190">
        <f t="shared" ref="AB14:AM14" si="25">AB10+AB13</f>
        <v>-2429085.1229123641</v>
      </c>
      <c r="AC14" s="190">
        <f t="shared" si="25"/>
        <v>-1922536.7854623632</v>
      </c>
      <c r="AD14" s="190">
        <f t="shared" si="25"/>
        <v>-1447617.5725841762</v>
      </c>
      <c r="AE14" s="190">
        <f t="shared" si="25"/>
        <v>-1048644.2981405864</v>
      </c>
      <c r="AF14" s="190">
        <f>AF10+AF13</f>
        <v>10957437.844701342</v>
      </c>
      <c r="AG14" s="190">
        <f t="shared" si="25"/>
        <v>10701971.866956672</v>
      </c>
      <c r="AH14" s="190">
        <f t="shared" si="25"/>
        <v>10487525.394495903</v>
      </c>
      <c r="AI14" s="190">
        <f t="shared" si="25"/>
        <v>10257175.922051119</v>
      </c>
      <c r="AJ14" s="190">
        <f t="shared" si="25"/>
        <v>9911407.402148664</v>
      </c>
      <c r="AK14" s="190">
        <f t="shared" si="25"/>
        <v>9358219.9825485852</v>
      </c>
      <c r="AL14" s="190">
        <f t="shared" si="25"/>
        <v>7991077.0738406461</v>
      </c>
      <c r="AM14" s="190">
        <f t="shared" si="25"/>
        <v>6351177.060204003</v>
      </c>
      <c r="AN14" s="190">
        <f t="shared" ref="AN14:AQ14" si="26">AN10+AN13</f>
        <v>4707283.1406416912</v>
      </c>
      <c r="AO14" s="190">
        <f t="shared" si="26"/>
        <v>3484712.6318692612</v>
      </c>
      <c r="AP14" s="190">
        <f t="shared" si="26"/>
        <v>2152412.310486801</v>
      </c>
      <c r="AQ14" s="190">
        <f t="shared" si="26"/>
        <v>1219269.8692787681</v>
      </c>
    </row>
    <row r="15" spans="1:43">
      <c r="A15" s="326"/>
      <c r="B15" s="326"/>
      <c r="C15" s="306"/>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row>
    <row r="16" spans="1:43">
      <c r="A16" s="331" t="s">
        <v>208</v>
      </c>
      <c r="B16" s="326"/>
      <c r="C16" s="306" t="s">
        <v>209</v>
      </c>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row>
    <row r="17" spans="1:43">
      <c r="A17" s="326"/>
      <c r="B17" s="326" t="s">
        <v>203</v>
      </c>
      <c r="C17" s="306">
        <v>25400422</v>
      </c>
      <c r="D17" s="190">
        <v>0</v>
      </c>
      <c r="E17" s="190">
        <f>D21</f>
        <v>0</v>
      </c>
      <c r="F17" s="190">
        <f t="shared" ref="F17:M17" si="27">E21</f>
        <v>0</v>
      </c>
      <c r="G17" s="190">
        <f t="shared" si="27"/>
        <v>0</v>
      </c>
      <c r="H17" s="190">
        <f t="shared" si="27"/>
        <v>0</v>
      </c>
      <c r="I17" s="190">
        <f t="shared" si="27"/>
        <v>0</v>
      </c>
      <c r="J17" s="190">
        <f t="shared" si="27"/>
        <v>0</v>
      </c>
      <c r="K17" s="190">
        <f t="shared" si="27"/>
        <v>0</v>
      </c>
      <c r="L17" s="190">
        <f t="shared" si="27"/>
        <v>0</v>
      </c>
      <c r="M17" s="190">
        <f t="shared" si="27"/>
        <v>0</v>
      </c>
      <c r="N17" s="190">
        <f>M21</f>
        <v>0</v>
      </c>
      <c r="O17" s="190">
        <f>N21</f>
        <v>0</v>
      </c>
      <c r="P17" s="190">
        <f t="shared" ref="P17:AA17" si="28">O21</f>
        <v>0</v>
      </c>
      <c r="Q17" s="190">
        <f t="shared" si="28"/>
        <v>0</v>
      </c>
      <c r="R17" s="190">
        <f t="shared" si="28"/>
        <v>0</v>
      </c>
      <c r="S17" s="190">
        <f t="shared" si="28"/>
        <v>0</v>
      </c>
      <c r="T17" s="190">
        <f t="shared" si="28"/>
        <v>0</v>
      </c>
      <c r="U17" s="190">
        <f t="shared" si="28"/>
        <v>238053.66538763192</v>
      </c>
      <c r="V17" s="190">
        <f t="shared" si="28"/>
        <v>230586.59001145011</v>
      </c>
      <c r="W17" s="190">
        <f t="shared" si="28"/>
        <v>222594.22567545201</v>
      </c>
      <c r="X17" s="190">
        <f t="shared" si="28"/>
        <v>214620.52339179895</v>
      </c>
      <c r="Y17" s="190">
        <f t="shared" si="28"/>
        <v>206422.93583268652</v>
      </c>
      <c r="Z17" s="190">
        <f t="shared" si="28"/>
        <v>195081.16111722233</v>
      </c>
      <c r="AA17" s="190">
        <f t="shared" si="28"/>
        <v>170451.44474055726</v>
      </c>
      <c r="AB17" s="190">
        <f t="shared" ref="AB17" si="29">AA21</f>
        <v>143868.60101756486</v>
      </c>
      <c r="AC17" s="190">
        <f t="shared" ref="AC17" si="30">AB21</f>
        <v>117611.04907977948</v>
      </c>
      <c r="AD17" s="190">
        <f t="shared" ref="AD17" si="31">AC21</f>
        <v>97269.286514728214</v>
      </c>
      <c r="AE17" s="190">
        <f t="shared" ref="AE17" si="32">AD21</f>
        <v>77361.507511680815</v>
      </c>
      <c r="AF17" s="190">
        <f t="shared" ref="AF17" si="33">AE21</f>
        <v>60297.320111638226</v>
      </c>
      <c r="AG17" s="190">
        <f t="shared" ref="AG17" si="34">AF21</f>
        <v>5307905.2028076006</v>
      </c>
      <c r="AH17" s="190">
        <f t="shared" ref="AH17" si="35">AG21</f>
        <v>5117110.4040621184</v>
      </c>
      <c r="AI17" s="190">
        <f t="shared" ref="AI17" si="36">AH21</f>
        <v>4940926.7655538982</v>
      </c>
      <c r="AJ17" s="190">
        <f t="shared" ref="AJ17" si="37">AI21</f>
        <v>4755725.955852516</v>
      </c>
      <c r="AK17" s="190">
        <f t="shared" ref="AK17" si="38">AJ21</f>
        <v>4546902.1142505612</v>
      </c>
      <c r="AL17" s="190">
        <f t="shared" ref="AL17" si="39">AK21</f>
        <v>4269554.9245421542</v>
      </c>
      <c r="AM17" s="190">
        <f t="shared" ref="AM17" si="40">AL21</f>
        <v>3770192.4435498933</v>
      </c>
      <c r="AN17" s="190">
        <f t="shared" ref="AN17" si="41">AM21</f>
        <v>3068961.7450243598</v>
      </c>
      <c r="AO17" s="190">
        <f t="shared" ref="AO17" si="42">AN21</f>
        <v>2485075.3406491471</v>
      </c>
      <c r="AP17" s="190">
        <f t="shared" ref="AP17" si="43">AO21</f>
        <v>2004407.5904290127</v>
      </c>
      <c r="AQ17" s="190">
        <f t="shared" ref="AQ17" si="44">AP21</f>
        <v>1403116.0865000726</v>
      </c>
    </row>
    <row r="18" spans="1:43" s="326" customFormat="1">
      <c r="B18" s="238" t="s">
        <v>204</v>
      </c>
      <c r="C18" s="306"/>
      <c r="D18" s="190"/>
      <c r="E18" s="190"/>
      <c r="F18" s="190"/>
      <c r="G18" s="190"/>
      <c r="H18" s="190"/>
      <c r="I18" s="190"/>
      <c r="J18" s="190"/>
      <c r="K18" s="190"/>
      <c r="L18" s="190"/>
      <c r="M18" s="190"/>
      <c r="N18" s="190"/>
      <c r="O18" s="190"/>
      <c r="P18" s="190"/>
      <c r="Q18" s="190"/>
      <c r="R18" s="190"/>
      <c r="S18" s="190"/>
      <c r="T18" s="185">
        <v>250942.28976841201</v>
      </c>
      <c r="U18" s="190"/>
      <c r="V18" s="190"/>
      <c r="W18" s="190"/>
      <c r="X18" s="190"/>
      <c r="Y18" s="190"/>
      <c r="Z18" s="190"/>
      <c r="AA18" s="190"/>
      <c r="AB18" s="190"/>
      <c r="AC18" s="190"/>
      <c r="AD18" s="190"/>
      <c r="AE18" s="190"/>
      <c r="AF18" s="475">
        <v>5474838.4769011335</v>
      </c>
      <c r="AG18" s="190"/>
      <c r="AH18" s="190"/>
      <c r="AI18" s="190"/>
      <c r="AJ18" s="190"/>
      <c r="AK18" s="190"/>
      <c r="AL18" s="190"/>
      <c r="AM18" s="190"/>
      <c r="AN18" s="190"/>
      <c r="AO18" s="190"/>
      <c r="AP18" s="190"/>
      <c r="AQ18" s="190"/>
    </row>
    <row r="19" spans="1:43">
      <c r="A19" s="326"/>
      <c r="B19" s="238" t="s">
        <v>205</v>
      </c>
      <c r="C19" s="322"/>
      <c r="D19" s="185">
        <v>0</v>
      </c>
      <c r="E19" s="185">
        <v>0</v>
      </c>
      <c r="F19" s="185">
        <v>0</v>
      </c>
      <c r="G19" s="185">
        <v>0</v>
      </c>
      <c r="H19" s="185">
        <v>0</v>
      </c>
      <c r="I19" s="185">
        <v>0</v>
      </c>
      <c r="J19" s="185">
        <v>0</v>
      </c>
      <c r="K19" s="185">
        <v>0</v>
      </c>
      <c r="L19" s="185">
        <v>0</v>
      </c>
      <c r="M19" s="185">
        <v>0</v>
      </c>
      <c r="N19" s="185">
        <v>0</v>
      </c>
      <c r="O19" s="185">
        <v>0</v>
      </c>
      <c r="P19" s="185">
        <v>0</v>
      </c>
      <c r="Q19" s="185">
        <v>0</v>
      </c>
      <c r="R19" s="185">
        <v>0</v>
      </c>
      <c r="S19" s="185">
        <v>0</v>
      </c>
      <c r="T19" s="447">
        <v>-12888.624380780098</v>
      </c>
      <c r="U19" s="447">
        <v>-7467.0753761818032</v>
      </c>
      <c r="V19" s="447">
        <v>-7992.364335998097</v>
      </c>
      <c r="W19" s="447">
        <v>-7973.7022836530414</v>
      </c>
      <c r="X19" s="447">
        <v>-8197.5875591124441</v>
      </c>
      <c r="Y19" s="447">
        <v>-11341.774715464175</v>
      </c>
      <c r="Z19" s="447">
        <v>-24629.716376665074</v>
      </c>
      <c r="AA19" s="447">
        <v>-26582.843722992413</v>
      </c>
      <c r="AB19" s="307">
        <f>-'Non-Res Deferral Calc 2015'!C39</f>
        <v>-26257.551937785374</v>
      </c>
      <c r="AC19" s="307">
        <f>-'Non-Res Deferral Calc 2015'!D39</f>
        <v>-20341.762565051264</v>
      </c>
      <c r="AD19" s="307">
        <f>-'Non-Res Deferral Calc 2015'!E39</f>
        <v>-19907.779003047399</v>
      </c>
      <c r="AE19" s="307">
        <f>-'Non-Res Deferral Calc 2015'!F39</f>
        <v>-17064.187400042585</v>
      </c>
      <c r="AF19" s="307">
        <f>-'Non-Res Deferral Calc 2015'!G39</f>
        <v>-227230.59420517046</v>
      </c>
      <c r="AG19" s="307">
        <f>-'Non-Res Deferral Calc 2015'!H39</f>
        <v>-190794.79874548214</v>
      </c>
      <c r="AH19" s="307">
        <f>-'Non-Res Deferral Calc 2015'!I39</f>
        <v>-176183.63850822003</v>
      </c>
      <c r="AI19" s="307">
        <f>-'Non-Res Deferral Calc 2015'!J39</f>
        <v>-185200.80970138207</v>
      </c>
      <c r="AJ19" s="307">
        <f>-'Non-Res Deferral Calc 2015'!K39</f>
        <v>-208823.84160195506</v>
      </c>
      <c r="AK19" s="307">
        <f>-'Non-Res Deferral Calc 2015'!L39</f>
        <v>-277347.18970840669</v>
      </c>
      <c r="AL19" s="307">
        <f>-'Non-Res Deferral Calc 2015'!M39</f>
        <v>-499362.48099226074</v>
      </c>
      <c r="AM19" s="307">
        <f>-'Non-Res Deferral Calc 2015'!N39</f>
        <v>-701230.69852553343</v>
      </c>
      <c r="AN19" s="447">
        <v>-583886.40437521273</v>
      </c>
      <c r="AO19" s="447">
        <v>-480667.75022013433</v>
      </c>
      <c r="AP19" s="307">
        <f>-'Amort Estimate'!D24</f>
        <v>-601291.50392894004</v>
      </c>
      <c r="AQ19" s="307">
        <f>-'Amort Estimate'!E24</f>
        <v>-453912.66153238498</v>
      </c>
    </row>
    <row r="20" spans="1:43">
      <c r="A20" s="326"/>
      <c r="B20" s="326" t="s">
        <v>206</v>
      </c>
      <c r="C20" s="322"/>
      <c r="D20" s="186">
        <f t="shared" ref="D20:S20" si="45">SUM(D19:D19)</f>
        <v>0</v>
      </c>
      <c r="E20" s="186">
        <f t="shared" si="45"/>
        <v>0</v>
      </c>
      <c r="F20" s="186">
        <f t="shared" si="45"/>
        <v>0</v>
      </c>
      <c r="G20" s="186">
        <f t="shared" si="45"/>
        <v>0</v>
      </c>
      <c r="H20" s="186">
        <f t="shared" si="45"/>
        <v>0</v>
      </c>
      <c r="I20" s="186">
        <f t="shared" si="45"/>
        <v>0</v>
      </c>
      <c r="J20" s="186">
        <f t="shared" si="45"/>
        <v>0</v>
      </c>
      <c r="K20" s="186">
        <f t="shared" si="45"/>
        <v>0</v>
      </c>
      <c r="L20" s="186">
        <f t="shared" si="45"/>
        <v>0</v>
      </c>
      <c r="M20" s="186">
        <f t="shared" si="45"/>
        <v>0</v>
      </c>
      <c r="N20" s="186">
        <f t="shared" si="45"/>
        <v>0</v>
      </c>
      <c r="O20" s="186">
        <f t="shared" si="45"/>
        <v>0</v>
      </c>
      <c r="P20" s="186">
        <f t="shared" si="45"/>
        <v>0</v>
      </c>
      <c r="Q20" s="186">
        <f t="shared" si="45"/>
        <v>0</v>
      </c>
      <c r="R20" s="186">
        <f t="shared" si="45"/>
        <v>0</v>
      </c>
      <c r="S20" s="186">
        <f t="shared" si="45"/>
        <v>0</v>
      </c>
      <c r="T20" s="186">
        <f>SUM(T18:T19)</f>
        <v>238053.66538763192</v>
      </c>
      <c r="U20" s="186">
        <f t="shared" ref="U20:AM20" si="46">SUM(U18:U19)</f>
        <v>-7467.0753761818032</v>
      </c>
      <c r="V20" s="186">
        <f t="shared" si="46"/>
        <v>-7992.364335998097</v>
      </c>
      <c r="W20" s="186">
        <f t="shared" si="46"/>
        <v>-7973.7022836530414</v>
      </c>
      <c r="X20" s="186">
        <f t="shared" si="46"/>
        <v>-8197.5875591124441</v>
      </c>
      <c r="Y20" s="186">
        <f t="shared" si="46"/>
        <v>-11341.774715464175</v>
      </c>
      <c r="Z20" s="186">
        <f t="shared" si="46"/>
        <v>-24629.716376665074</v>
      </c>
      <c r="AA20" s="186">
        <f t="shared" si="46"/>
        <v>-26582.843722992413</v>
      </c>
      <c r="AB20" s="186">
        <f t="shared" si="46"/>
        <v>-26257.551937785374</v>
      </c>
      <c r="AC20" s="186">
        <f t="shared" si="46"/>
        <v>-20341.762565051264</v>
      </c>
      <c r="AD20" s="186">
        <f t="shared" si="46"/>
        <v>-19907.779003047399</v>
      </c>
      <c r="AE20" s="186">
        <f t="shared" si="46"/>
        <v>-17064.187400042585</v>
      </c>
      <c r="AF20" s="186">
        <f t="shared" si="46"/>
        <v>5247607.8826959627</v>
      </c>
      <c r="AG20" s="186">
        <f t="shared" si="46"/>
        <v>-190794.79874548214</v>
      </c>
      <c r="AH20" s="186">
        <f t="shared" si="46"/>
        <v>-176183.63850822003</v>
      </c>
      <c r="AI20" s="186">
        <f t="shared" si="46"/>
        <v>-185200.80970138207</v>
      </c>
      <c r="AJ20" s="186">
        <f t="shared" si="46"/>
        <v>-208823.84160195506</v>
      </c>
      <c r="AK20" s="186">
        <f t="shared" si="46"/>
        <v>-277347.18970840669</v>
      </c>
      <c r="AL20" s="186">
        <f t="shared" si="46"/>
        <v>-499362.48099226074</v>
      </c>
      <c r="AM20" s="186">
        <f t="shared" si="46"/>
        <v>-701230.69852553343</v>
      </c>
      <c r="AN20" s="186">
        <f t="shared" ref="AN20" si="47">SUM(AN18:AN19)</f>
        <v>-583886.40437521273</v>
      </c>
      <c r="AO20" s="186">
        <f t="shared" ref="AO20" si="48">SUM(AO18:AO19)</f>
        <v>-480667.75022013433</v>
      </c>
      <c r="AP20" s="186">
        <f t="shared" ref="AP20" si="49">SUM(AP18:AP19)</f>
        <v>-601291.50392894004</v>
      </c>
      <c r="AQ20" s="186">
        <f t="shared" ref="AQ20" si="50">SUM(AQ18:AQ19)</f>
        <v>-453912.66153238498</v>
      </c>
    </row>
    <row r="21" spans="1:43">
      <c r="A21" s="326"/>
      <c r="B21" s="326" t="s">
        <v>207</v>
      </c>
      <c r="C21" s="322"/>
      <c r="D21" s="190">
        <f t="shared" ref="D21:AA21" si="51">D17+D20</f>
        <v>0</v>
      </c>
      <c r="E21" s="190">
        <f t="shared" si="51"/>
        <v>0</v>
      </c>
      <c r="F21" s="190">
        <f t="shared" si="51"/>
        <v>0</v>
      </c>
      <c r="G21" s="190">
        <f t="shared" si="51"/>
        <v>0</v>
      </c>
      <c r="H21" s="190">
        <f t="shared" si="51"/>
        <v>0</v>
      </c>
      <c r="I21" s="190">
        <f t="shared" si="51"/>
        <v>0</v>
      </c>
      <c r="J21" s="190">
        <f t="shared" si="51"/>
        <v>0</v>
      </c>
      <c r="K21" s="190">
        <f t="shared" si="51"/>
        <v>0</v>
      </c>
      <c r="L21" s="190">
        <f t="shared" si="51"/>
        <v>0</v>
      </c>
      <c r="M21" s="190">
        <f t="shared" si="51"/>
        <v>0</v>
      </c>
      <c r="N21" s="190">
        <f t="shared" si="51"/>
        <v>0</v>
      </c>
      <c r="O21" s="190">
        <f t="shared" si="51"/>
        <v>0</v>
      </c>
      <c r="P21" s="190">
        <f t="shared" si="51"/>
        <v>0</v>
      </c>
      <c r="Q21" s="190">
        <f t="shared" si="51"/>
        <v>0</v>
      </c>
      <c r="R21" s="190">
        <f t="shared" si="51"/>
        <v>0</v>
      </c>
      <c r="S21" s="190">
        <f t="shared" si="51"/>
        <v>0</v>
      </c>
      <c r="T21" s="190">
        <f t="shared" si="51"/>
        <v>238053.66538763192</v>
      </c>
      <c r="U21" s="190">
        <f t="shared" si="51"/>
        <v>230586.59001145011</v>
      </c>
      <c r="V21" s="190">
        <f t="shared" si="51"/>
        <v>222594.22567545201</v>
      </c>
      <c r="W21" s="190">
        <f t="shared" si="51"/>
        <v>214620.52339179895</v>
      </c>
      <c r="X21" s="190">
        <f t="shared" si="51"/>
        <v>206422.93583268652</v>
      </c>
      <c r="Y21" s="190">
        <f t="shared" si="51"/>
        <v>195081.16111722233</v>
      </c>
      <c r="Z21" s="190">
        <f t="shared" si="51"/>
        <v>170451.44474055726</v>
      </c>
      <c r="AA21" s="190">
        <f t="shared" si="51"/>
        <v>143868.60101756486</v>
      </c>
      <c r="AB21" s="190">
        <f t="shared" ref="AB21:AM21" si="52">AB17+AB20</f>
        <v>117611.04907977948</v>
      </c>
      <c r="AC21" s="190">
        <f t="shared" si="52"/>
        <v>97269.286514728214</v>
      </c>
      <c r="AD21" s="190">
        <f t="shared" si="52"/>
        <v>77361.507511680815</v>
      </c>
      <c r="AE21" s="190">
        <f t="shared" si="52"/>
        <v>60297.320111638226</v>
      </c>
      <c r="AF21" s="190">
        <f t="shared" si="52"/>
        <v>5307905.2028076006</v>
      </c>
      <c r="AG21" s="190">
        <f t="shared" si="52"/>
        <v>5117110.4040621184</v>
      </c>
      <c r="AH21" s="190">
        <f t="shared" si="52"/>
        <v>4940926.7655538982</v>
      </c>
      <c r="AI21" s="190">
        <f t="shared" si="52"/>
        <v>4755725.955852516</v>
      </c>
      <c r="AJ21" s="190">
        <f t="shared" si="52"/>
        <v>4546902.1142505612</v>
      </c>
      <c r="AK21" s="190">
        <f t="shared" si="52"/>
        <v>4269554.9245421542</v>
      </c>
      <c r="AL21" s="190">
        <f t="shared" si="52"/>
        <v>3770192.4435498933</v>
      </c>
      <c r="AM21" s="190">
        <f t="shared" si="52"/>
        <v>3068961.7450243598</v>
      </c>
      <c r="AN21" s="190">
        <f t="shared" ref="AN21:AQ21" si="53">AN17+AN20</f>
        <v>2485075.3406491471</v>
      </c>
      <c r="AO21" s="190">
        <f t="shared" si="53"/>
        <v>2004407.5904290127</v>
      </c>
      <c r="AP21" s="190">
        <f t="shared" si="53"/>
        <v>1403116.0865000726</v>
      </c>
      <c r="AQ21" s="190">
        <f t="shared" si="53"/>
        <v>949203.42496768758</v>
      </c>
    </row>
    <row r="22" spans="1:43">
      <c r="A22" s="326"/>
      <c r="B22" s="326"/>
      <c r="C22" s="322"/>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row>
    <row r="23" spans="1:43" s="326" customFormat="1">
      <c r="A23" s="329" t="s">
        <v>210</v>
      </c>
      <c r="C23" s="411">
        <v>18238232</v>
      </c>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row>
    <row r="24" spans="1:43" s="326" customFormat="1">
      <c r="B24" s="326" t="s">
        <v>203</v>
      </c>
      <c r="C24" s="446"/>
      <c r="D24" s="190">
        <v>0</v>
      </c>
      <c r="E24" s="190">
        <f>D29</f>
        <v>0</v>
      </c>
      <c r="F24" s="190">
        <f t="shared" ref="F24" si="54">E29</f>
        <v>0</v>
      </c>
      <c r="G24" s="190">
        <f t="shared" ref="G24" si="55">F29</f>
        <v>0</v>
      </c>
      <c r="H24" s="190">
        <f t="shared" ref="H24" si="56">G29</f>
        <v>0</v>
      </c>
      <c r="I24" s="190">
        <f t="shared" ref="I24" si="57">H29</f>
        <v>0</v>
      </c>
      <c r="J24" s="190">
        <f t="shared" ref="J24" si="58">I29</f>
        <v>0</v>
      </c>
      <c r="K24" s="190">
        <f t="shared" ref="K24" si="59">J29</f>
        <v>0</v>
      </c>
      <c r="L24" s="190">
        <f t="shared" ref="L24" si="60">K29</f>
        <v>0</v>
      </c>
      <c r="M24" s="190">
        <f t="shared" ref="M24" si="61">L29</f>
        <v>0</v>
      </c>
      <c r="N24" s="190">
        <f>M29</f>
        <v>0</v>
      </c>
      <c r="O24" s="190">
        <f>N29</f>
        <v>0</v>
      </c>
      <c r="P24" s="190">
        <f t="shared" ref="P24" si="62">O29</f>
        <v>0</v>
      </c>
      <c r="Q24" s="190">
        <f t="shared" ref="Q24" si="63">P29</f>
        <v>42523.140904505744</v>
      </c>
      <c r="R24" s="190">
        <f t="shared" ref="R24" si="64">Q29</f>
        <v>42523.140904505744</v>
      </c>
      <c r="S24" s="190">
        <f t="shared" ref="S24" si="65">R29</f>
        <v>42523.140904505744</v>
      </c>
      <c r="T24" s="190">
        <f t="shared" ref="T24" si="66">S29</f>
        <v>42523.140904505744</v>
      </c>
      <c r="U24" s="190">
        <f t="shared" ref="U24" si="67">T29</f>
        <v>38979.545829130264</v>
      </c>
      <c r="V24" s="190">
        <f t="shared" ref="V24" si="68">U29</f>
        <v>35435.950753754783</v>
      </c>
      <c r="W24" s="190">
        <f t="shared" ref="W24" si="69">V29</f>
        <v>31892.355678379303</v>
      </c>
      <c r="X24" s="190">
        <f t="shared" ref="X24" si="70">W29</f>
        <v>28348.760603003822</v>
      </c>
      <c r="Y24" s="190">
        <f t="shared" ref="Y24" si="71">X29</f>
        <v>24805.165527628342</v>
      </c>
      <c r="Z24" s="190">
        <f t="shared" ref="Z24" si="72">Y29</f>
        <v>21261.570452252861</v>
      </c>
      <c r="AA24" s="190">
        <f t="shared" ref="AA24" si="73">Z29</f>
        <v>17717.975376877381</v>
      </c>
      <c r="AB24" s="190">
        <f t="shared" ref="AB24" si="74">AA29</f>
        <v>14174.380301501902</v>
      </c>
      <c r="AC24" s="190">
        <f t="shared" ref="AC24" si="75">AB29</f>
        <v>10630.785226126423</v>
      </c>
      <c r="AD24" s="190">
        <f t="shared" ref="AD24" si="76">AC29</f>
        <v>7087.1901507509447</v>
      </c>
      <c r="AE24" s="190">
        <f t="shared" ref="AE24" si="77">AD29</f>
        <v>3543.595075375466</v>
      </c>
      <c r="AF24" s="190">
        <f t="shared" ref="AF24" si="78">AE29</f>
        <v>-1.2732925824820995E-11</v>
      </c>
      <c r="AG24" s="190">
        <f t="shared" ref="AG24" si="79">AF29</f>
        <v>-1.2732925824820995E-11</v>
      </c>
      <c r="AH24" s="190">
        <f t="shared" ref="AH24" si="80">AG29</f>
        <v>-1.2732925824820995E-11</v>
      </c>
      <c r="AI24" s="190">
        <f t="shared" ref="AI24" si="81">AH29</f>
        <v>-1.2732925824820995E-11</v>
      </c>
      <c r="AJ24" s="190">
        <f t="shared" ref="AJ24" si="82">AI29</f>
        <v>-1.2732925824820995E-11</v>
      </c>
      <c r="AK24" s="190">
        <f t="shared" ref="AK24" si="83">AJ29</f>
        <v>-1.2732925824820995E-11</v>
      </c>
      <c r="AL24" s="190">
        <f t="shared" ref="AL24" si="84">AK29</f>
        <v>-1.2732925824820995E-11</v>
      </c>
      <c r="AM24" s="190">
        <f t="shared" ref="AM24" si="85">AL29</f>
        <v>-1.2732925824820995E-11</v>
      </c>
      <c r="AN24" s="190">
        <f t="shared" ref="AN24" si="86">AM29</f>
        <v>-1.2732925824820995E-11</v>
      </c>
      <c r="AO24" s="190">
        <f t="shared" ref="AO24" si="87">AN29</f>
        <v>-1.2732925824820995E-11</v>
      </c>
      <c r="AP24" s="190">
        <f t="shared" ref="AP24" si="88">AO29</f>
        <v>-1.2732925824820995E-11</v>
      </c>
      <c r="AQ24" s="190">
        <f t="shared" ref="AQ24" si="89">AP29</f>
        <v>-1.2732925824820995E-11</v>
      </c>
    </row>
    <row r="25" spans="1:43" s="326" customFormat="1">
      <c r="B25" s="238" t="s">
        <v>204</v>
      </c>
      <c r="C25" s="446"/>
      <c r="D25" s="185">
        <v>0</v>
      </c>
      <c r="E25" s="185">
        <v>0</v>
      </c>
      <c r="F25" s="185">
        <v>0</v>
      </c>
      <c r="G25" s="185">
        <v>0</v>
      </c>
      <c r="H25" s="185">
        <v>0</v>
      </c>
      <c r="I25" s="185">
        <v>0</v>
      </c>
      <c r="J25" s="185">
        <v>0</v>
      </c>
      <c r="K25" s="185">
        <v>0</v>
      </c>
      <c r="L25" s="185">
        <v>0</v>
      </c>
      <c r="M25" s="185">
        <v>0</v>
      </c>
      <c r="N25" s="185">
        <v>0</v>
      </c>
      <c r="O25" s="185">
        <v>0</v>
      </c>
      <c r="P25" s="185">
        <v>0</v>
      </c>
      <c r="Q25" s="185">
        <v>0</v>
      </c>
      <c r="R25" s="185">
        <v>0</v>
      </c>
      <c r="S25" s="185">
        <v>0</v>
      </c>
      <c r="T25" s="185"/>
      <c r="U25" s="185">
        <v>0</v>
      </c>
      <c r="V25" s="185">
        <v>0</v>
      </c>
      <c r="W25" s="185">
        <v>0</v>
      </c>
      <c r="X25" s="185">
        <v>0</v>
      </c>
      <c r="Y25" s="185">
        <v>0</v>
      </c>
      <c r="Z25" s="185">
        <v>0</v>
      </c>
      <c r="AA25" s="185">
        <v>0</v>
      </c>
      <c r="AB25" s="185">
        <v>0</v>
      </c>
      <c r="AC25" s="185">
        <v>0</v>
      </c>
      <c r="AD25" s="185">
        <v>0</v>
      </c>
      <c r="AE25" s="185">
        <v>0</v>
      </c>
      <c r="AF25" s="185">
        <v>0</v>
      </c>
      <c r="AG25" s="185">
        <v>0</v>
      </c>
      <c r="AH25" s="185">
        <v>0</v>
      </c>
      <c r="AI25" s="185">
        <v>0</v>
      </c>
      <c r="AJ25" s="185">
        <v>0</v>
      </c>
      <c r="AK25" s="185">
        <v>0</v>
      </c>
      <c r="AL25" s="185">
        <v>0</v>
      </c>
      <c r="AM25" s="185">
        <v>0</v>
      </c>
      <c r="AN25" s="185">
        <v>0</v>
      </c>
      <c r="AO25" s="185">
        <v>0</v>
      </c>
      <c r="AP25" s="185">
        <v>0</v>
      </c>
      <c r="AQ25" s="185">
        <v>0</v>
      </c>
    </row>
    <row r="26" spans="1:43" s="326" customFormat="1">
      <c r="B26" s="238" t="s">
        <v>211</v>
      </c>
      <c r="C26" s="446"/>
      <c r="D26" s="185"/>
      <c r="E26" s="185"/>
      <c r="F26" s="185"/>
      <c r="G26" s="185"/>
      <c r="H26" s="185"/>
      <c r="I26" s="185"/>
      <c r="J26" s="185"/>
      <c r="K26" s="185"/>
      <c r="L26" s="185"/>
      <c r="M26" s="185"/>
      <c r="N26" s="185"/>
      <c r="O26" s="185"/>
      <c r="P26" s="185">
        <v>42523.140904505744</v>
      </c>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row>
    <row r="27" spans="1:43" s="326" customFormat="1">
      <c r="B27" s="238" t="s">
        <v>205</v>
      </c>
      <c r="C27" s="433"/>
      <c r="D27" s="447">
        <v>0</v>
      </c>
      <c r="E27" s="447">
        <v>0</v>
      </c>
      <c r="F27" s="447">
        <v>0</v>
      </c>
      <c r="G27" s="447">
        <v>0</v>
      </c>
      <c r="H27" s="447">
        <v>0</v>
      </c>
      <c r="I27" s="447">
        <v>0</v>
      </c>
      <c r="J27" s="447">
        <v>0</v>
      </c>
      <c r="K27" s="447">
        <v>0</v>
      </c>
      <c r="L27" s="447">
        <v>0</v>
      </c>
      <c r="M27" s="447">
        <v>0</v>
      </c>
      <c r="N27" s="447">
        <v>0</v>
      </c>
      <c r="O27" s="447">
        <v>0</v>
      </c>
      <c r="P27" s="447">
        <v>0</v>
      </c>
      <c r="Q27" s="447">
        <v>0</v>
      </c>
      <c r="R27" s="447">
        <v>0</v>
      </c>
      <c r="S27" s="447">
        <v>0</v>
      </c>
      <c r="T27" s="447">
        <v>-3543.5950753754787</v>
      </c>
      <c r="U27" s="447">
        <v>-3543.5950753754787</v>
      </c>
      <c r="V27" s="447">
        <v>-3543.5950753754787</v>
      </c>
      <c r="W27" s="447">
        <v>-3543.5950753754787</v>
      </c>
      <c r="X27" s="447">
        <v>-3543.5950753754787</v>
      </c>
      <c r="Y27" s="447">
        <v>-3543.5950753754787</v>
      </c>
      <c r="Z27" s="447">
        <v>-3543.5950753754787</v>
      </c>
      <c r="AA27" s="447">
        <v>-3543.5950753754787</v>
      </c>
      <c r="AB27" s="447">
        <v>-3543.5950753754787</v>
      </c>
      <c r="AC27" s="447">
        <v>-3543.5950753754787</v>
      </c>
      <c r="AD27" s="447">
        <v>-3543.5950753754787</v>
      </c>
      <c r="AE27" s="447">
        <v>-3543.5950753754787</v>
      </c>
      <c r="AF27" s="447"/>
      <c r="AG27" s="447"/>
      <c r="AH27" s="447"/>
      <c r="AI27" s="447"/>
      <c r="AJ27" s="447"/>
      <c r="AK27" s="447"/>
      <c r="AL27" s="447"/>
      <c r="AM27" s="447"/>
      <c r="AN27" s="447"/>
      <c r="AO27" s="447"/>
      <c r="AP27" s="447"/>
      <c r="AQ27" s="447"/>
    </row>
    <row r="28" spans="1:43" s="326" customFormat="1">
      <c r="B28" s="326" t="s">
        <v>206</v>
      </c>
      <c r="C28" s="433"/>
      <c r="D28" s="186">
        <f>SUM(D25:D27)</f>
        <v>0</v>
      </c>
      <c r="E28" s="186">
        <f>SUM(E25:E27)</f>
        <v>0</v>
      </c>
      <c r="F28" s="186">
        <f t="shared" ref="F28:M28" si="90">SUM(F25:F27)</f>
        <v>0</v>
      </c>
      <c r="G28" s="186">
        <f t="shared" si="90"/>
        <v>0</v>
      </c>
      <c r="H28" s="186">
        <f t="shared" si="90"/>
        <v>0</v>
      </c>
      <c r="I28" s="186">
        <f t="shared" si="90"/>
        <v>0</v>
      </c>
      <c r="J28" s="186">
        <f t="shared" si="90"/>
        <v>0</v>
      </c>
      <c r="K28" s="186">
        <f t="shared" si="90"/>
        <v>0</v>
      </c>
      <c r="L28" s="186">
        <f t="shared" si="90"/>
        <v>0</v>
      </c>
      <c r="M28" s="186">
        <f t="shared" si="90"/>
        <v>0</v>
      </c>
      <c r="N28" s="186">
        <f>SUM(N25:N27)</f>
        <v>0</v>
      </c>
      <c r="O28" s="186">
        <f>SUM(O25:O27)</f>
        <v>0</v>
      </c>
      <c r="P28" s="186">
        <f>SUM(P25:P27)</f>
        <v>42523.140904505744</v>
      </c>
      <c r="Q28" s="186">
        <f>SUM(Q25:Q27)</f>
        <v>0</v>
      </c>
      <c r="R28" s="186">
        <f t="shared" ref="R28:AA28" si="91">SUM(R25:R27)</f>
        <v>0</v>
      </c>
      <c r="S28" s="186">
        <f t="shared" si="91"/>
        <v>0</v>
      </c>
      <c r="T28" s="186">
        <f t="shared" si="91"/>
        <v>-3543.5950753754787</v>
      </c>
      <c r="U28" s="186">
        <f t="shared" si="91"/>
        <v>-3543.5950753754787</v>
      </c>
      <c r="V28" s="186">
        <f t="shared" si="91"/>
        <v>-3543.5950753754787</v>
      </c>
      <c r="W28" s="186">
        <f t="shared" si="91"/>
        <v>-3543.5950753754787</v>
      </c>
      <c r="X28" s="186">
        <f t="shared" si="91"/>
        <v>-3543.5950753754787</v>
      </c>
      <c r="Y28" s="186">
        <f t="shared" si="91"/>
        <v>-3543.5950753754787</v>
      </c>
      <c r="Z28" s="186">
        <f t="shared" si="91"/>
        <v>-3543.5950753754787</v>
      </c>
      <c r="AA28" s="186">
        <f t="shared" si="91"/>
        <v>-3543.5950753754787</v>
      </c>
      <c r="AB28" s="186">
        <f t="shared" ref="AB28:AM28" si="92">SUM(AB25:AB27)</f>
        <v>-3543.5950753754787</v>
      </c>
      <c r="AC28" s="186">
        <f t="shared" si="92"/>
        <v>-3543.5950753754787</v>
      </c>
      <c r="AD28" s="186">
        <f t="shared" si="92"/>
        <v>-3543.5950753754787</v>
      </c>
      <c r="AE28" s="186">
        <f t="shared" si="92"/>
        <v>-3543.5950753754787</v>
      </c>
      <c r="AF28" s="186">
        <f t="shared" si="92"/>
        <v>0</v>
      </c>
      <c r="AG28" s="186">
        <f t="shared" si="92"/>
        <v>0</v>
      </c>
      <c r="AH28" s="186">
        <f t="shared" si="92"/>
        <v>0</v>
      </c>
      <c r="AI28" s="186">
        <f t="shared" si="92"/>
        <v>0</v>
      </c>
      <c r="AJ28" s="186">
        <f t="shared" si="92"/>
        <v>0</v>
      </c>
      <c r="AK28" s="186">
        <f t="shared" si="92"/>
        <v>0</v>
      </c>
      <c r="AL28" s="186">
        <f t="shared" si="92"/>
        <v>0</v>
      </c>
      <c r="AM28" s="186">
        <f t="shared" si="92"/>
        <v>0</v>
      </c>
      <c r="AN28" s="186">
        <f t="shared" ref="AN28:AQ28" si="93">SUM(AN25:AN27)</f>
        <v>0</v>
      </c>
      <c r="AO28" s="186">
        <f t="shared" si="93"/>
        <v>0</v>
      </c>
      <c r="AP28" s="186">
        <f t="shared" si="93"/>
        <v>0</v>
      </c>
      <c r="AQ28" s="186">
        <f t="shared" si="93"/>
        <v>0</v>
      </c>
    </row>
    <row r="29" spans="1:43" s="326" customFormat="1">
      <c r="B29" s="326" t="s">
        <v>207</v>
      </c>
      <c r="C29" s="433"/>
      <c r="D29" s="190">
        <f>D24+D28</f>
        <v>0</v>
      </c>
      <c r="E29" s="190">
        <f>E24+E28</f>
        <v>0</v>
      </c>
      <c r="F29" s="190">
        <f t="shared" ref="F29:M29" si="94">F24+F28</f>
        <v>0</v>
      </c>
      <c r="G29" s="190">
        <f t="shared" si="94"/>
        <v>0</v>
      </c>
      <c r="H29" s="190">
        <f t="shared" si="94"/>
        <v>0</v>
      </c>
      <c r="I29" s="190">
        <f t="shared" si="94"/>
        <v>0</v>
      </c>
      <c r="J29" s="190">
        <f t="shared" si="94"/>
        <v>0</v>
      </c>
      <c r="K29" s="190">
        <f t="shared" si="94"/>
        <v>0</v>
      </c>
      <c r="L29" s="190">
        <f t="shared" si="94"/>
        <v>0</v>
      </c>
      <c r="M29" s="190">
        <f t="shared" si="94"/>
        <v>0</v>
      </c>
      <c r="N29" s="190">
        <f>N24+N28</f>
        <v>0</v>
      </c>
      <c r="O29" s="190">
        <f>O24+O28</f>
        <v>0</v>
      </c>
      <c r="P29" s="190">
        <f t="shared" ref="P29:AA29" si="95">P24+P28</f>
        <v>42523.140904505744</v>
      </c>
      <c r="Q29" s="190">
        <f t="shared" si="95"/>
        <v>42523.140904505744</v>
      </c>
      <c r="R29" s="190">
        <f t="shared" si="95"/>
        <v>42523.140904505744</v>
      </c>
      <c r="S29" s="190">
        <f t="shared" si="95"/>
        <v>42523.140904505744</v>
      </c>
      <c r="T29" s="190">
        <f t="shared" si="95"/>
        <v>38979.545829130264</v>
      </c>
      <c r="U29" s="190">
        <f t="shared" si="95"/>
        <v>35435.950753754783</v>
      </c>
      <c r="V29" s="190">
        <f t="shared" si="95"/>
        <v>31892.355678379303</v>
      </c>
      <c r="W29" s="190">
        <f t="shared" si="95"/>
        <v>28348.760603003822</v>
      </c>
      <c r="X29" s="190">
        <f t="shared" si="95"/>
        <v>24805.165527628342</v>
      </c>
      <c r="Y29" s="190">
        <f t="shared" si="95"/>
        <v>21261.570452252861</v>
      </c>
      <c r="Z29" s="190">
        <f t="shared" si="95"/>
        <v>17717.975376877381</v>
      </c>
      <c r="AA29" s="190">
        <f t="shared" si="95"/>
        <v>14174.380301501902</v>
      </c>
      <c r="AB29" s="190">
        <f t="shared" ref="AB29:AM29" si="96">AB24+AB28</f>
        <v>10630.785226126423</v>
      </c>
      <c r="AC29" s="190">
        <f t="shared" si="96"/>
        <v>7087.1901507509447</v>
      </c>
      <c r="AD29" s="190">
        <f t="shared" si="96"/>
        <v>3543.595075375466</v>
      </c>
      <c r="AE29" s="190">
        <f t="shared" si="96"/>
        <v>-1.2732925824820995E-11</v>
      </c>
      <c r="AF29" s="190">
        <f t="shared" si="96"/>
        <v>-1.2732925824820995E-11</v>
      </c>
      <c r="AG29" s="190">
        <f t="shared" si="96"/>
        <v>-1.2732925824820995E-11</v>
      </c>
      <c r="AH29" s="190">
        <f t="shared" si="96"/>
        <v>-1.2732925824820995E-11</v>
      </c>
      <c r="AI29" s="190">
        <f t="shared" si="96"/>
        <v>-1.2732925824820995E-11</v>
      </c>
      <c r="AJ29" s="190">
        <f t="shared" si="96"/>
        <v>-1.2732925824820995E-11</v>
      </c>
      <c r="AK29" s="190">
        <f t="shared" si="96"/>
        <v>-1.2732925824820995E-11</v>
      </c>
      <c r="AL29" s="190">
        <f t="shared" si="96"/>
        <v>-1.2732925824820995E-11</v>
      </c>
      <c r="AM29" s="190">
        <f t="shared" si="96"/>
        <v>-1.2732925824820995E-11</v>
      </c>
      <c r="AN29" s="190">
        <f t="shared" ref="AN29:AQ29" si="97">AN24+AN28</f>
        <v>-1.2732925824820995E-11</v>
      </c>
      <c r="AO29" s="190">
        <f t="shared" si="97"/>
        <v>-1.2732925824820995E-11</v>
      </c>
      <c r="AP29" s="190">
        <f t="shared" si="97"/>
        <v>-1.2732925824820995E-11</v>
      </c>
      <c r="AQ29" s="190">
        <f t="shared" si="97"/>
        <v>-1.2732925824820995E-11</v>
      </c>
    </row>
    <row r="30" spans="1:43" s="326" customFormat="1">
      <c r="C30" s="433"/>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row>
    <row r="31" spans="1:43">
      <c r="A31" s="331" t="s">
        <v>212</v>
      </c>
      <c r="B31" s="326"/>
      <c r="C31" s="306" t="s">
        <v>213</v>
      </c>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row>
    <row r="32" spans="1:43">
      <c r="A32" s="326"/>
      <c r="B32" s="326" t="s">
        <v>203</v>
      </c>
      <c r="C32" s="306">
        <v>25400342</v>
      </c>
      <c r="D32" s="190">
        <v>0</v>
      </c>
      <c r="E32" s="190">
        <f>D37</f>
        <v>0</v>
      </c>
      <c r="F32" s="190">
        <f t="shared" ref="F32:M32" si="98">E37</f>
        <v>0</v>
      </c>
      <c r="G32" s="190">
        <f t="shared" si="98"/>
        <v>0</v>
      </c>
      <c r="H32" s="190">
        <f t="shared" si="98"/>
        <v>0</v>
      </c>
      <c r="I32" s="190">
        <f t="shared" si="98"/>
        <v>0</v>
      </c>
      <c r="J32" s="190">
        <f t="shared" si="98"/>
        <v>0</v>
      </c>
      <c r="K32" s="190">
        <f t="shared" si="98"/>
        <v>948189.55861061451</v>
      </c>
      <c r="L32" s="190">
        <f t="shared" si="98"/>
        <v>1309380.914206563</v>
      </c>
      <c r="M32" s="190">
        <f t="shared" si="98"/>
        <v>1585414.1343927504</v>
      </c>
      <c r="N32" s="190">
        <f t="shared" ref="N32:AA32" si="99">M37</f>
        <v>-1292661.2666015443</v>
      </c>
      <c r="O32" s="190">
        <f t="shared" si="99"/>
        <v>-1019644.9975526362</v>
      </c>
      <c r="P32" s="190">
        <f t="shared" si="99"/>
        <v>-5451693.8924886947</v>
      </c>
      <c r="Q32" s="190">
        <f t="shared" si="99"/>
        <v>-5883642.9405475566</v>
      </c>
      <c r="R32" s="190">
        <f t="shared" si="99"/>
        <v>-6890920.3557745451</v>
      </c>
      <c r="S32" s="190">
        <f t="shared" si="99"/>
        <v>-5107113.3438407267</v>
      </c>
      <c r="T32" s="190">
        <f t="shared" si="99"/>
        <v>-2660706.099599483</v>
      </c>
      <c r="U32" s="190">
        <f t="shared" si="99"/>
        <v>5805839.1381995417</v>
      </c>
      <c r="V32" s="190">
        <f t="shared" si="99"/>
        <v>6919630.2114182347</v>
      </c>
      <c r="W32" s="190">
        <f t="shared" si="99"/>
        <v>8026633.245574818</v>
      </c>
      <c r="X32" s="190">
        <f t="shared" si="99"/>
        <v>9051922.6478806362</v>
      </c>
      <c r="Y32" s="190">
        <f t="shared" si="99"/>
        <v>11137400.832769608</v>
      </c>
      <c r="Z32" s="190">
        <f t="shared" si="99"/>
        <v>16861799.080129482</v>
      </c>
      <c r="AA32" s="190">
        <f t="shared" si="99"/>
        <v>18421242.087891102</v>
      </c>
      <c r="AB32" s="190">
        <f t="shared" ref="AB32" si="100">AA37</f>
        <v>23504773.279758234</v>
      </c>
      <c r="AC32" s="190">
        <f t="shared" ref="AC32" si="101">AB37</f>
        <v>30135800.84475198</v>
      </c>
      <c r="AD32" s="190">
        <f t="shared" ref="AD32" si="102">AC37</f>
        <v>41226697.414950356</v>
      </c>
      <c r="AE32" s="190">
        <f t="shared" ref="AE32" si="103">AD37</f>
        <v>44927909.796243265</v>
      </c>
      <c r="AF32" s="190">
        <f t="shared" ref="AF32" si="104">AE37</f>
        <v>47759894.536120407</v>
      </c>
      <c r="AG32" s="190">
        <f t="shared" ref="AG32" si="105">AF37</f>
        <v>37617584.338868715</v>
      </c>
      <c r="AH32" s="190">
        <f t="shared" ref="AH32" si="106">AG37</f>
        <v>40029651.535180777</v>
      </c>
      <c r="AI32" s="190">
        <f t="shared" ref="AI32" si="107">AH37</f>
        <v>41784370.954414472</v>
      </c>
      <c r="AJ32" s="190">
        <f t="shared" ref="AJ32" si="108">AI37</f>
        <v>42807769.764948323</v>
      </c>
      <c r="AK32" s="190">
        <f t="shared" ref="AK32" si="109">AJ37</f>
        <v>43713451.087717578</v>
      </c>
      <c r="AL32" s="190">
        <f t="shared" ref="AL32" si="110">AK37</f>
        <v>48950342.592510745</v>
      </c>
      <c r="AM32" s="190">
        <f t="shared" ref="AM32" si="111">AL37</f>
        <v>49386298.475011207</v>
      </c>
      <c r="AN32" s="190">
        <f t="shared" ref="AN32" si="112">AM37</f>
        <v>51590267.038251668</v>
      </c>
      <c r="AO32" s="190">
        <f t="shared" ref="AO32" si="113">AN37</f>
        <v>51590267.038251668</v>
      </c>
      <c r="AP32" s="190">
        <f t="shared" ref="AP32" si="114">AO37</f>
        <v>51590267.038251668</v>
      </c>
      <c r="AQ32" s="190">
        <f t="shared" ref="AQ32" si="115">AP37</f>
        <v>51590267.038251668</v>
      </c>
    </row>
    <row r="33" spans="1:43" s="187" customFormat="1">
      <c r="B33" s="238" t="s">
        <v>204</v>
      </c>
      <c r="C33" s="188"/>
      <c r="D33" s="185">
        <v>0</v>
      </c>
      <c r="E33" s="185">
        <v>0</v>
      </c>
      <c r="F33" s="185">
        <v>0</v>
      </c>
      <c r="G33" s="185">
        <v>0</v>
      </c>
      <c r="H33" s="185">
        <v>0</v>
      </c>
      <c r="I33" s="185">
        <v>0</v>
      </c>
      <c r="J33" s="185">
        <v>0</v>
      </c>
      <c r="K33" s="185">
        <v>0</v>
      </c>
      <c r="L33" s="185">
        <v>0</v>
      </c>
      <c r="M33" s="185">
        <v>0</v>
      </c>
      <c r="N33" s="185">
        <v>0</v>
      </c>
      <c r="O33" s="185">
        <v>0</v>
      </c>
      <c r="P33" s="185">
        <v>0</v>
      </c>
      <c r="Q33" s="185">
        <v>0</v>
      </c>
      <c r="R33" s="185">
        <v>0</v>
      </c>
      <c r="S33" s="185">
        <v>0</v>
      </c>
      <c r="T33" s="185">
        <v>5451693.8924886901</v>
      </c>
      <c r="U33" s="185">
        <v>0</v>
      </c>
      <c r="V33" s="185">
        <v>0</v>
      </c>
      <c r="W33" s="185">
        <v>0</v>
      </c>
      <c r="X33" s="185">
        <v>0</v>
      </c>
      <c r="Y33" s="185">
        <v>0</v>
      </c>
      <c r="Z33" s="185">
        <v>0</v>
      </c>
      <c r="AA33" s="185">
        <v>0</v>
      </c>
      <c r="AB33" s="185">
        <v>0</v>
      </c>
      <c r="AC33" s="185">
        <v>0</v>
      </c>
      <c r="AD33" s="185">
        <v>0</v>
      </c>
      <c r="AE33" s="185">
        <v>0</v>
      </c>
      <c r="AF33" s="185">
        <v>-13317115.033646883</v>
      </c>
      <c r="AG33" s="185">
        <v>0</v>
      </c>
      <c r="AH33" s="185">
        <v>0</v>
      </c>
      <c r="AI33" s="185">
        <v>0</v>
      </c>
      <c r="AJ33" s="185">
        <v>0</v>
      </c>
      <c r="AK33" s="185">
        <v>0</v>
      </c>
      <c r="AL33" s="185">
        <v>0</v>
      </c>
      <c r="AM33" s="185">
        <v>0</v>
      </c>
      <c r="AN33" s="185">
        <v>0</v>
      </c>
      <c r="AO33" s="185">
        <v>0</v>
      </c>
      <c r="AP33" s="185">
        <v>0</v>
      </c>
      <c r="AQ33" s="185">
        <v>0</v>
      </c>
    </row>
    <row r="34" spans="1:43" s="187" customFormat="1">
      <c r="B34" s="462" t="s">
        <v>214</v>
      </c>
      <c r="C34" s="188"/>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v>-4007313.2348715151</v>
      </c>
      <c r="AE34" s="185">
        <v>-398973.27444359008</v>
      </c>
      <c r="AF34" s="185">
        <v>13602.820653037168</v>
      </c>
      <c r="AG34" s="185">
        <v>-2678.5843998761848</v>
      </c>
      <c r="AH34" s="185">
        <v>-524.31119779497385</v>
      </c>
      <c r="AI34" s="185"/>
      <c r="AJ34" s="185"/>
      <c r="AK34" s="185"/>
      <c r="AL34" s="185"/>
      <c r="AM34" s="185"/>
      <c r="AN34" s="185"/>
      <c r="AO34" s="185"/>
      <c r="AP34" s="185"/>
      <c r="AQ34" s="185"/>
    </row>
    <row r="35" spans="1:43" s="184" customFormat="1">
      <c r="A35" s="238"/>
      <c r="B35" s="238" t="s">
        <v>215</v>
      </c>
      <c r="C35" s="189"/>
      <c r="D35" s="185">
        <v>0</v>
      </c>
      <c r="E35" s="185">
        <v>0</v>
      </c>
      <c r="F35" s="185">
        <v>0</v>
      </c>
      <c r="G35" s="185">
        <v>0</v>
      </c>
      <c r="H35" s="185">
        <v>0</v>
      </c>
      <c r="I35" s="185">
        <v>0</v>
      </c>
      <c r="J35" s="447">
        <v>948189.55861061451</v>
      </c>
      <c r="K35" s="447">
        <v>361191.35559594858</v>
      </c>
      <c r="L35" s="447">
        <v>276033.22018618736</v>
      </c>
      <c r="M35" s="447">
        <v>-2878075.4009942948</v>
      </c>
      <c r="N35" s="447">
        <v>273016.26904890814</v>
      </c>
      <c r="O35" s="447">
        <v>-4432048.8949360587</v>
      </c>
      <c r="P35" s="447">
        <v>-431949.04805886181</v>
      </c>
      <c r="Q35" s="447">
        <v>-1007277.4152269885</v>
      </c>
      <c r="R35" s="447">
        <v>1783807.0119338187</v>
      </c>
      <c r="S35" s="447">
        <v>2446407.2442412437</v>
      </c>
      <c r="T35" s="447">
        <v>3014851.3453103346</v>
      </c>
      <c r="U35" s="447">
        <v>1113791.0732186933</v>
      </c>
      <c r="V35" s="447">
        <v>1107003.0341565832</v>
      </c>
      <c r="W35" s="447">
        <v>1025289.4023058179</v>
      </c>
      <c r="X35" s="447">
        <v>2085478.1848889724</v>
      </c>
      <c r="Y35" s="447">
        <v>5724398.2473598737</v>
      </c>
      <c r="Z35" s="447">
        <v>1559443.0077616186</v>
      </c>
      <c r="AA35" s="447">
        <v>5083531.1918671317</v>
      </c>
      <c r="AB35" s="307">
        <f>'Res Deferral Calc 2015'!C27</f>
        <v>6631027.5649937475</v>
      </c>
      <c r="AC35" s="307">
        <f>'Res Deferral Calc 2015'!D27</f>
        <v>11090896.570198379</v>
      </c>
      <c r="AD35" s="307">
        <f>'Res Deferral Calc 2015'!E27</f>
        <v>7708525.6161644282</v>
      </c>
      <c r="AE35" s="307">
        <f>'Res Deferral Calc 2015'!F27</f>
        <v>3230958.0143207326</v>
      </c>
      <c r="AF35" s="307">
        <f>'Res Deferral Calc 2015'!G27</f>
        <v>3161202.0157421548</v>
      </c>
      <c r="AG35" s="307">
        <f>'Res Deferral Calc 2015'!H27</f>
        <v>2414745.7807119414</v>
      </c>
      <c r="AH35" s="307">
        <f>'Res Deferral Calc 2015'!I27</f>
        <v>1755243.7304314866</v>
      </c>
      <c r="AI35" s="307">
        <f>'Res Deferral Calc 2015'!J27</f>
        <v>1023398.8105338494</v>
      </c>
      <c r="AJ35" s="307">
        <f>'Res Deferral Calc 2015'!K27</f>
        <v>905681.32276925654</v>
      </c>
      <c r="AK35" s="307">
        <f>'Res Deferral Calc 2015'!L27</f>
        <v>5236891.5047931699</v>
      </c>
      <c r="AL35" s="307">
        <f>'Res Deferral Calc 2015'!M27</f>
        <v>435955.8825004641</v>
      </c>
      <c r="AM35" s="307">
        <f>'Res Deferral Calc 2015'!N27</f>
        <v>2203968.5632404643</v>
      </c>
      <c r="AN35" s="307">
        <v>0</v>
      </c>
      <c r="AO35" s="307">
        <v>0</v>
      </c>
      <c r="AP35" s="307">
        <v>0</v>
      </c>
      <c r="AQ35" s="307">
        <v>0</v>
      </c>
    </row>
    <row r="36" spans="1:43">
      <c r="A36" s="326"/>
      <c r="B36" s="326" t="s">
        <v>206</v>
      </c>
      <c r="C36" s="322"/>
      <c r="D36" s="186">
        <f>SUM(D33:D35)</f>
        <v>0</v>
      </c>
      <c r="E36" s="186">
        <f>SUM(E33:E35)</f>
        <v>0</v>
      </c>
      <c r="F36" s="186">
        <f t="shared" ref="F36:I36" si="116">SUM(F33:F35)</f>
        <v>0</v>
      </c>
      <c r="G36" s="186">
        <f t="shared" si="116"/>
        <v>0</v>
      </c>
      <c r="H36" s="186">
        <f t="shared" si="116"/>
        <v>0</v>
      </c>
      <c r="I36" s="186">
        <f t="shared" si="116"/>
        <v>0</v>
      </c>
      <c r="J36" s="186">
        <f>SUM(J33:J35)</f>
        <v>948189.55861061451</v>
      </c>
      <c r="K36" s="186">
        <f t="shared" ref="K36:AM36" si="117">SUM(K33:K35)</f>
        <v>361191.35559594858</v>
      </c>
      <c r="L36" s="186">
        <f t="shared" si="117"/>
        <v>276033.22018618736</v>
      </c>
      <c r="M36" s="186">
        <f t="shared" si="117"/>
        <v>-2878075.4009942948</v>
      </c>
      <c r="N36" s="186">
        <f t="shared" si="117"/>
        <v>273016.26904890814</v>
      </c>
      <c r="O36" s="186">
        <f t="shared" si="117"/>
        <v>-4432048.8949360587</v>
      </c>
      <c r="P36" s="186">
        <f t="shared" si="117"/>
        <v>-431949.04805886181</v>
      </c>
      <c r="Q36" s="186">
        <f t="shared" si="117"/>
        <v>-1007277.4152269885</v>
      </c>
      <c r="R36" s="186">
        <f t="shared" si="117"/>
        <v>1783807.0119338187</v>
      </c>
      <c r="S36" s="186">
        <f t="shared" si="117"/>
        <v>2446407.2442412437</v>
      </c>
      <c r="T36" s="186">
        <f t="shared" si="117"/>
        <v>8466545.2377990242</v>
      </c>
      <c r="U36" s="186">
        <f t="shared" si="117"/>
        <v>1113791.0732186933</v>
      </c>
      <c r="V36" s="186">
        <f t="shared" si="117"/>
        <v>1107003.0341565832</v>
      </c>
      <c r="W36" s="186">
        <f t="shared" si="117"/>
        <v>1025289.4023058179</v>
      </c>
      <c r="X36" s="186">
        <f t="shared" si="117"/>
        <v>2085478.1848889724</v>
      </c>
      <c r="Y36" s="186">
        <f t="shared" si="117"/>
        <v>5724398.2473598737</v>
      </c>
      <c r="Z36" s="186">
        <f t="shared" si="117"/>
        <v>1559443.0077616186</v>
      </c>
      <c r="AA36" s="186">
        <f t="shared" si="117"/>
        <v>5083531.1918671317</v>
      </c>
      <c r="AB36" s="186">
        <f t="shared" si="117"/>
        <v>6631027.5649937475</v>
      </c>
      <c r="AC36" s="186">
        <f t="shared" si="117"/>
        <v>11090896.570198379</v>
      </c>
      <c r="AD36" s="186">
        <f t="shared" si="117"/>
        <v>3701212.3812929131</v>
      </c>
      <c r="AE36" s="186">
        <f t="shared" si="117"/>
        <v>2831984.7398771425</v>
      </c>
      <c r="AF36" s="186">
        <f t="shared" si="117"/>
        <v>-10142310.197251691</v>
      </c>
      <c r="AG36" s="186">
        <f t="shared" si="117"/>
        <v>2412067.1963120652</v>
      </c>
      <c r="AH36" s="186">
        <f>SUM(AH33:AH35)</f>
        <v>1754719.4192336916</v>
      </c>
      <c r="AI36" s="186">
        <f t="shared" si="117"/>
        <v>1023398.8105338494</v>
      </c>
      <c r="AJ36" s="186">
        <f t="shared" si="117"/>
        <v>905681.32276925654</v>
      </c>
      <c r="AK36" s="186">
        <f t="shared" si="117"/>
        <v>5236891.5047931699</v>
      </c>
      <c r="AL36" s="186">
        <f t="shared" si="117"/>
        <v>435955.8825004641</v>
      </c>
      <c r="AM36" s="186">
        <f t="shared" si="117"/>
        <v>2203968.5632404643</v>
      </c>
      <c r="AN36" s="186">
        <f t="shared" ref="AN36" si="118">SUM(AN33:AN35)</f>
        <v>0</v>
      </c>
      <c r="AO36" s="186">
        <f t="shared" ref="AO36" si="119">SUM(AO33:AO35)</f>
        <v>0</v>
      </c>
      <c r="AP36" s="186">
        <f t="shared" ref="AP36" si="120">SUM(AP33:AP35)</f>
        <v>0</v>
      </c>
      <c r="AQ36" s="186">
        <f t="shared" ref="AQ36" si="121">SUM(AQ33:AQ35)</f>
        <v>0</v>
      </c>
    </row>
    <row r="37" spans="1:43">
      <c r="A37" s="326"/>
      <c r="B37" s="326" t="s">
        <v>207</v>
      </c>
      <c r="C37" s="322"/>
      <c r="D37" s="190">
        <f>D32+D36</f>
        <v>0</v>
      </c>
      <c r="E37" s="190">
        <f>E32+E36</f>
        <v>0</v>
      </c>
      <c r="F37" s="190">
        <f t="shared" ref="F37:M37" si="122">F32+F36</f>
        <v>0</v>
      </c>
      <c r="G37" s="190">
        <f t="shared" si="122"/>
        <v>0</v>
      </c>
      <c r="H37" s="190">
        <f t="shared" si="122"/>
        <v>0</v>
      </c>
      <c r="I37" s="190">
        <f t="shared" si="122"/>
        <v>0</v>
      </c>
      <c r="J37" s="190">
        <f t="shared" si="122"/>
        <v>948189.55861061451</v>
      </c>
      <c r="K37" s="190">
        <f t="shared" si="122"/>
        <v>1309380.914206563</v>
      </c>
      <c r="L37" s="190">
        <f t="shared" si="122"/>
        <v>1585414.1343927504</v>
      </c>
      <c r="M37" s="190">
        <f t="shared" si="122"/>
        <v>-1292661.2666015443</v>
      </c>
      <c r="N37" s="190">
        <f t="shared" ref="N37:AA37" si="123">N32+N36</f>
        <v>-1019644.9975526362</v>
      </c>
      <c r="O37" s="190">
        <f t="shared" si="123"/>
        <v>-5451693.8924886947</v>
      </c>
      <c r="P37" s="190">
        <f t="shared" si="123"/>
        <v>-5883642.9405475566</v>
      </c>
      <c r="Q37" s="190">
        <f t="shared" si="123"/>
        <v>-6890920.3557745451</v>
      </c>
      <c r="R37" s="190">
        <f t="shared" si="123"/>
        <v>-5107113.3438407267</v>
      </c>
      <c r="S37" s="190">
        <f t="shared" si="123"/>
        <v>-2660706.099599483</v>
      </c>
      <c r="T37" s="190">
        <f t="shared" si="123"/>
        <v>5805839.1381995417</v>
      </c>
      <c r="U37" s="190">
        <f t="shared" si="123"/>
        <v>6919630.2114182347</v>
      </c>
      <c r="V37" s="190">
        <f t="shared" si="123"/>
        <v>8026633.245574818</v>
      </c>
      <c r="W37" s="190">
        <f t="shared" si="123"/>
        <v>9051922.6478806362</v>
      </c>
      <c r="X37" s="190">
        <f t="shared" si="123"/>
        <v>11137400.832769608</v>
      </c>
      <c r="Y37" s="190">
        <f t="shared" si="123"/>
        <v>16861799.080129482</v>
      </c>
      <c r="Z37" s="190">
        <f t="shared" si="123"/>
        <v>18421242.087891102</v>
      </c>
      <c r="AA37" s="190">
        <f t="shared" si="123"/>
        <v>23504773.279758234</v>
      </c>
      <c r="AB37" s="190">
        <f t="shared" ref="AB37:AM37" si="124">AB32+AB36</f>
        <v>30135800.84475198</v>
      </c>
      <c r="AC37" s="190">
        <f t="shared" si="124"/>
        <v>41226697.414950356</v>
      </c>
      <c r="AD37" s="190">
        <f t="shared" si="124"/>
        <v>44927909.796243265</v>
      </c>
      <c r="AE37" s="190">
        <f t="shared" si="124"/>
        <v>47759894.536120407</v>
      </c>
      <c r="AF37" s="190">
        <f t="shared" si="124"/>
        <v>37617584.338868715</v>
      </c>
      <c r="AG37" s="190">
        <f t="shared" si="124"/>
        <v>40029651.535180777</v>
      </c>
      <c r="AH37" s="190">
        <f t="shared" si="124"/>
        <v>41784370.954414472</v>
      </c>
      <c r="AI37" s="190">
        <f t="shared" si="124"/>
        <v>42807769.764948323</v>
      </c>
      <c r="AJ37" s="190">
        <f t="shared" si="124"/>
        <v>43713451.087717578</v>
      </c>
      <c r="AK37" s="190">
        <f t="shared" si="124"/>
        <v>48950342.592510745</v>
      </c>
      <c r="AL37" s="190">
        <f t="shared" si="124"/>
        <v>49386298.475011207</v>
      </c>
      <c r="AM37" s="190">
        <f t="shared" si="124"/>
        <v>51590267.038251668</v>
      </c>
      <c r="AN37" s="190">
        <f t="shared" ref="AN37:AQ37" si="125">AN32+AN36</f>
        <v>51590267.038251668</v>
      </c>
      <c r="AO37" s="190">
        <f t="shared" si="125"/>
        <v>51590267.038251668</v>
      </c>
      <c r="AP37" s="190">
        <f t="shared" si="125"/>
        <v>51590267.038251668</v>
      </c>
      <c r="AQ37" s="190">
        <f t="shared" si="125"/>
        <v>51590267.038251668</v>
      </c>
    </row>
    <row r="38" spans="1:43">
      <c r="A38" s="326"/>
      <c r="B38" s="326"/>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row>
    <row r="39" spans="1:43">
      <c r="A39" s="331" t="s">
        <v>216</v>
      </c>
      <c r="B39" s="326"/>
      <c r="C39" s="306" t="s">
        <v>217</v>
      </c>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row>
    <row r="40" spans="1:43">
      <c r="A40" s="326"/>
      <c r="B40" s="326" t="s">
        <v>203</v>
      </c>
      <c r="C40" s="306">
        <v>25400352</v>
      </c>
      <c r="D40" s="190">
        <v>0</v>
      </c>
      <c r="E40" s="190">
        <f>D46</f>
        <v>0</v>
      </c>
      <c r="F40" s="190">
        <f t="shared" ref="F40:M40" si="126">E46</f>
        <v>0</v>
      </c>
      <c r="G40" s="190">
        <f t="shared" si="126"/>
        <v>0</v>
      </c>
      <c r="H40" s="190">
        <f t="shared" si="126"/>
        <v>0</v>
      </c>
      <c r="I40" s="190">
        <f t="shared" si="126"/>
        <v>0</v>
      </c>
      <c r="J40" s="190">
        <f t="shared" si="126"/>
        <v>0</v>
      </c>
      <c r="K40" s="190">
        <f t="shared" si="126"/>
        <v>-199465.60817156127</v>
      </c>
      <c r="L40" s="190">
        <f t="shared" si="126"/>
        <v>640444.03112079646</v>
      </c>
      <c r="M40" s="190">
        <f t="shared" si="126"/>
        <v>507915.77304489387</v>
      </c>
      <c r="N40" s="190">
        <f t="shared" ref="N40:AA40" si="127">M46</f>
        <v>404431.40087758645</v>
      </c>
      <c r="O40" s="190">
        <f t="shared" si="127"/>
        <v>1105202.2605628944</v>
      </c>
      <c r="P40" s="190">
        <f t="shared" si="127"/>
        <v>286419.05858386646</v>
      </c>
      <c r="Q40" s="190">
        <f t="shared" si="127"/>
        <v>1341192.9534952273</v>
      </c>
      <c r="R40" s="190">
        <f t="shared" si="127"/>
        <v>523882.64398179576</v>
      </c>
      <c r="S40" s="190">
        <f t="shared" si="127"/>
        <v>1482052.6553668785</v>
      </c>
      <c r="T40" s="190">
        <f t="shared" si="127"/>
        <v>2266995.2812781716</v>
      </c>
      <c r="U40" s="190">
        <f t="shared" si="127"/>
        <v>2052782.7193476232</v>
      </c>
      <c r="V40" s="190">
        <f t="shared" si="127"/>
        <v>2725822.7582124844</v>
      </c>
      <c r="W40" s="190">
        <f t="shared" si="127"/>
        <v>2989154.0642003417</v>
      </c>
      <c r="X40" s="190">
        <f t="shared" si="127"/>
        <v>3027270.3802636154</v>
      </c>
      <c r="Y40" s="190">
        <f t="shared" si="127"/>
        <v>3376249.6029822449</v>
      </c>
      <c r="Z40" s="190">
        <f t="shared" si="127"/>
        <v>4662532.9972754084</v>
      </c>
      <c r="AA40" s="190">
        <f t="shared" si="127"/>
        <v>4241192.6902960446</v>
      </c>
      <c r="AB40" s="190">
        <f t="shared" ref="AB40" si="128">AA46</f>
        <v>5611247.5599752879</v>
      </c>
      <c r="AC40" s="190">
        <f t="shared" ref="AC40" si="129">AB46</f>
        <v>7101704.1663728394</v>
      </c>
      <c r="AD40" s="190">
        <f t="shared" ref="AD40" si="130">AC46</f>
        <v>9923249.7587148584</v>
      </c>
      <c r="AE40" s="190">
        <f t="shared" ref="AE40" si="131">AD46</f>
        <v>11775518.935626514</v>
      </c>
      <c r="AF40" s="190">
        <f t="shared" ref="AF40" si="132">AE46</f>
        <v>12289432.012997026</v>
      </c>
      <c r="AG40" s="190">
        <f t="shared" ref="AG40" si="133">AF46</f>
        <v>7246141.5101591153</v>
      </c>
      <c r="AH40" s="190">
        <f t="shared" ref="AH40" si="134">AG46</f>
        <v>7974280.2420591097</v>
      </c>
      <c r="AI40" s="190">
        <f t="shared" ref="AI40" si="135">AH46</f>
        <v>8621637.6560921781</v>
      </c>
      <c r="AJ40" s="190">
        <f t="shared" ref="AJ40" si="136">AI46</f>
        <v>8881023.9591175783</v>
      </c>
      <c r="AK40" s="190">
        <f t="shared" ref="AK40" si="137">AJ46</f>
        <v>9160349.8499225825</v>
      </c>
      <c r="AL40" s="190">
        <f t="shared" ref="AL40" si="138">AK46</f>
        <v>10404749.434073124</v>
      </c>
      <c r="AM40" s="190">
        <f t="shared" ref="AM40" si="139">AL46</f>
        <v>11122489.456258822</v>
      </c>
      <c r="AN40" s="190">
        <f t="shared" ref="AN40" si="140">AM46</f>
        <v>10454405.387318356</v>
      </c>
      <c r="AO40" s="190">
        <f t="shared" ref="AO40" si="141">AN46</f>
        <v>10454405.387318356</v>
      </c>
      <c r="AP40" s="190">
        <f t="shared" ref="AP40" si="142">AO46</f>
        <v>10454405.387318356</v>
      </c>
      <c r="AQ40" s="190">
        <f t="shared" ref="AQ40" si="143">AP46</f>
        <v>10454405.387318356</v>
      </c>
    </row>
    <row r="41" spans="1:43" s="187" customFormat="1">
      <c r="B41" s="238" t="s">
        <v>204</v>
      </c>
      <c r="C41" s="238"/>
      <c r="D41" s="185">
        <v>0</v>
      </c>
      <c r="E41" s="185">
        <v>0</v>
      </c>
      <c r="F41" s="185">
        <v>0</v>
      </c>
      <c r="G41" s="185">
        <v>0</v>
      </c>
      <c r="H41" s="185">
        <v>0</v>
      </c>
      <c r="I41" s="185">
        <v>0</v>
      </c>
      <c r="J41" s="185">
        <v>0</v>
      </c>
      <c r="K41" s="185">
        <v>0</v>
      </c>
      <c r="L41" s="185">
        <v>0</v>
      </c>
      <c r="M41" s="185">
        <v>0</v>
      </c>
      <c r="N41" s="185">
        <v>0</v>
      </c>
      <c r="O41" s="185">
        <v>0</v>
      </c>
      <c r="P41" s="185">
        <v>0</v>
      </c>
      <c r="Q41" s="185">
        <v>0</v>
      </c>
      <c r="R41" s="185">
        <v>0</v>
      </c>
      <c r="S41" s="185">
        <v>0</v>
      </c>
      <c r="T41" s="185">
        <v>-244916.936995064</v>
      </c>
      <c r="U41" s="185">
        <v>0</v>
      </c>
      <c r="V41" s="185">
        <v>0</v>
      </c>
      <c r="W41" s="185">
        <v>0</v>
      </c>
      <c r="X41" s="185">
        <v>0</v>
      </c>
      <c r="Y41" s="185">
        <v>0</v>
      </c>
      <c r="Z41" s="185">
        <v>0</v>
      </c>
      <c r="AA41" s="185">
        <v>0</v>
      </c>
      <c r="AB41" s="185">
        <v>0</v>
      </c>
      <c r="AC41" s="185">
        <v>0</v>
      </c>
      <c r="AD41" s="185">
        <v>0</v>
      </c>
      <c r="AE41" s="185">
        <v>0</v>
      </c>
      <c r="AF41" s="185">
        <v>-5735253.9088435043</v>
      </c>
      <c r="AG41" s="185">
        <v>0</v>
      </c>
      <c r="AH41" s="185">
        <v>0</v>
      </c>
      <c r="AI41" s="185">
        <v>0</v>
      </c>
      <c r="AJ41" s="185">
        <v>0</v>
      </c>
      <c r="AK41" s="185">
        <v>0</v>
      </c>
      <c r="AL41" s="185">
        <v>0</v>
      </c>
      <c r="AM41" s="185">
        <v>0</v>
      </c>
      <c r="AN41" s="185">
        <v>0</v>
      </c>
      <c r="AO41" s="185">
        <v>0</v>
      </c>
      <c r="AP41" s="185">
        <v>0</v>
      </c>
      <c r="AQ41" s="185">
        <v>0</v>
      </c>
    </row>
    <row r="42" spans="1:43" s="187" customFormat="1">
      <c r="B42" s="462" t="s">
        <v>214</v>
      </c>
      <c r="C42" s="238"/>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v>197720.5331578434</v>
      </c>
      <c r="AE42" s="185">
        <v>19809.365142105962</v>
      </c>
      <c r="AF42" s="185">
        <v>1775.0925828351174</v>
      </c>
      <c r="AG42" s="185">
        <v>388.0742268152535</v>
      </c>
      <c r="AH42" s="185">
        <v>168.33523267018609</v>
      </c>
      <c r="AI42" s="185"/>
      <c r="AJ42" s="185"/>
      <c r="AK42" s="185"/>
      <c r="AL42" s="185"/>
      <c r="AM42" s="185"/>
      <c r="AN42" s="185"/>
      <c r="AO42" s="185"/>
      <c r="AP42" s="185"/>
      <c r="AQ42" s="185"/>
    </row>
    <row r="43" spans="1:43" s="187" customFormat="1">
      <c r="B43" s="238" t="s">
        <v>218</v>
      </c>
      <c r="C43" s="238"/>
      <c r="D43" s="185"/>
      <c r="E43" s="185"/>
      <c r="F43" s="185"/>
      <c r="G43" s="185"/>
      <c r="H43" s="185"/>
      <c r="I43" s="185"/>
      <c r="J43" s="185"/>
      <c r="K43" s="185"/>
      <c r="L43" s="185"/>
      <c r="M43" s="185"/>
      <c r="N43" s="185"/>
      <c r="O43" s="185"/>
      <c r="P43" s="185">
        <v>-41502.121588802249</v>
      </c>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row>
    <row r="44" spans="1:43" s="184" customFormat="1">
      <c r="A44" s="238"/>
      <c r="B44" s="238" t="s">
        <v>215</v>
      </c>
      <c r="C44" s="189"/>
      <c r="D44" s="185">
        <v>0</v>
      </c>
      <c r="E44" s="185">
        <v>0</v>
      </c>
      <c r="F44" s="185">
        <v>0</v>
      </c>
      <c r="G44" s="185">
        <v>0</v>
      </c>
      <c r="H44" s="185">
        <v>0</v>
      </c>
      <c r="I44" s="185">
        <v>0</v>
      </c>
      <c r="J44" s="447">
        <v>-199465.60817156127</v>
      </c>
      <c r="K44" s="447">
        <v>839909.63929235772</v>
      </c>
      <c r="L44" s="447">
        <v>-132528.25807590262</v>
      </c>
      <c r="M44" s="447">
        <v>-103484.37216730745</v>
      </c>
      <c r="N44" s="447">
        <v>700770.85968530783</v>
      </c>
      <c r="O44" s="447">
        <v>-818783.20197902794</v>
      </c>
      <c r="P44" s="447">
        <v>1096276.0165001631</v>
      </c>
      <c r="Q44" s="447">
        <v>-817310.30951343151</v>
      </c>
      <c r="R44" s="447">
        <v>958170.01138508262</v>
      </c>
      <c r="S44" s="447">
        <v>784942.6259112932</v>
      </c>
      <c r="T44" s="447">
        <v>30704.375064515523</v>
      </c>
      <c r="U44" s="447">
        <v>673040.03886486136</v>
      </c>
      <c r="V44" s="447">
        <v>263331.30598785734</v>
      </c>
      <c r="W44" s="447">
        <v>38116.316063273625</v>
      </c>
      <c r="X44" s="447">
        <v>348979.22271862964</v>
      </c>
      <c r="Y44" s="447">
        <v>1286283.3942931639</v>
      </c>
      <c r="Z44" s="447">
        <v>-421340.3069793639</v>
      </c>
      <c r="AA44" s="447">
        <v>1370054.8696792435</v>
      </c>
      <c r="AB44" s="307">
        <f>'Non-Res Deferral Calc 2015'!C27</f>
        <v>1490456.606397552</v>
      </c>
      <c r="AC44" s="307">
        <f>'Non-Res Deferral Calc 2015'!D27</f>
        <v>2821545.5923420191</v>
      </c>
      <c r="AD44" s="307">
        <f>'Non-Res Deferral Calc 2015'!E27</f>
        <v>1654548.6437538122</v>
      </c>
      <c r="AE44" s="307">
        <f>'Non-Res Deferral Calc 2015'!F27</f>
        <v>494103.71222840523</v>
      </c>
      <c r="AF44" s="307">
        <f>'Non-Res Deferral Calc 2015'!G27</f>
        <v>690188.31342275883</v>
      </c>
      <c r="AG44" s="307">
        <f>'Non-Res Deferral Calc 2015'!H27</f>
        <v>727750.65767317871</v>
      </c>
      <c r="AH44" s="307">
        <f>'Non-Res Deferral Calc 2015'!I27</f>
        <v>647189.07880039897</v>
      </c>
      <c r="AI44" s="307">
        <f>'Non-Res Deferral Calc 2015'!J27</f>
        <v>259386.30302540021</v>
      </c>
      <c r="AJ44" s="307">
        <f>'Non-Res Deferral Calc 2015'!K27</f>
        <v>279325.8908050044</v>
      </c>
      <c r="AK44" s="307">
        <f>'Non-Res Deferral Calc 2015'!L27</f>
        <v>1244399.5841505413</v>
      </c>
      <c r="AL44" s="307">
        <f>'Non-Res Deferral Calc 2015'!M27</f>
        <v>717740.02218569873</v>
      </c>
      <c r="AM44" s="307">
        <f>'Non-Res Deferral Calc 2015'!N27</f>
        <v>-668084.06894046708</v>
      </c>
      <c r="AN44" s="307">
        <v>0</v>
      </c>
      <c r="AO44" s="307">
        <v>0</v>
      </c>
      <c r="AP44" s="307">
        <v>0</v>
      </c>
      <c r="AQ44" s="307">
        <v>0</v>
      </c>
    </row>
    <row r="45" spans="1:43">
      <c r="A45" s="326"/>
      <c r="B45" s="326" t="s">
        <v>206</v>
      </c>
      <c r="C45" s="322"/>
      <c r="D45" s="186">
        <f>SUM(D41:D44)</f>
        <v>0</v>
      </c>
      <c r="E45" s="186">
        <f>SUM(E41:E44)</f>
        <v>0</v>
      </c>
      <c r="F45" s="186">
        <f t="shared" ref="F45:M45" si="144">SUM(F41:F44)</f>
        <v>0</v>
      </c>
      <c r="G45" s="186">
        <f t="shared" si="144"/>
        <v>0</v>
      </c>
      <c r="H45" s="186">
        <f t="shared" si="144"/>
        <v>0</v>
      </c>
      <c r="I45" s="186">
        <f t="shared" si="144"/>
        <v>0</v>
      </c>
      <c r="J45" s="186">
        <f t="shared" si="144"/>
        <v>-199465.60817156127</v>
      </c>
      <c r="K45" s="186">
        <f t="shared" si="144"/>
        <v>839909.63929235772</v>
      </c>
      <c r="L45" s="186">
        <f t="shared" si="144"/>
        <v>-132528.25807590262</v>
      </c>
      <c r="M45" s="186">
        <f t="shared" si="144"/>
        <v>-103484.37216730745</v>
      </c>
      <c r="N45" s="186">
        <f t="shared" ref="N45:AA45" si="145">SUM(N41:N44)</f>
        <v>700770.85968530783</v>
      </c>
      <c r="O45" s="186">
        <f t="shared" si="145"/>
        <v>-818783.20197902794</v>
      </c>
      <c r="P45" s="186">
        <f t="shared" si="145"/>
        <v>1054773.8949113609</v>
      </c>
      <c r="Q45" s="186">
        <f t="shared" si="145"/>
        <v>-817310.30951343151</v>
      </c>
      <c r="R45" s="186">
        <f t="shared" si="145"/>
        <v>958170.01138508262</v>
      </c>
      <c r="S45" s="186">
        <f t="shared" si="145"/>
        <v>784942.6259112932</v>
      </c>
      <c r="T45" s="186">
        <f t="shared" si="145"/>
        <v>-214212.56193054846</v>
      </c>
      <c r="U45" s="186">
        <f t="shared" si="145"/>
        <v>673040.03886486136</v>
      </c>
      <c r="V45" s="186">
        <f t="shared" si="145"/>
        <v>263331.30598785734</v>
      </c>
      <c r="W45" s="186">
        <f t="shared" si="145"/>
        <v>38116.316063273625</v>
      </c>
      <c r="X45" s="186">
        <f t="shared" si="145"/>
        <v>348979.22271862964</v>
      </c>
      <c r="Y45" s="186">
        <f t="shared" si="145"/>
        <v>1286283.3942931639</v>
      </c>
      <c r="Z45" s="186">
        <f t="shared" si="145"/>
        <v>-421340.3069793639</v>
      </c>
      <c r="AA45" s="186">
        <f t="shared" si="145"/>
        <v>1370054.8696792435</v>
      </c>
      <c r="AB45" s="186">
        <f t="shared" ref="AB45:AM45" si="146">SUM(AB41:AB44)</f>
        <v>1490456.606397552</v>
      </c>
      <c r="AC45" s="186">
        <f t="shared" si="146"/>
        <v>2821545.5923420191</v>
      </c>
      <c r="AD45" s="186">
        <f t="shared" si="146"/>
        <v>1852269.1769116556</v>
      </c>
      <c r="AE45" s="186">
        <f t="shared" si="146"/>
        <v>513913.07737051119</v>
      </c>
      <c r="AF45" s="186">
        <f t="shared" si="146"/>
        <v>-5043290.5028379103</v>
      </c>
      <c r="AG45" s="186">
        <f>SUM(AG41:AG44)</f>
        <v>728138.73189999396</v>
      </c>
      <c r="AH45" s="186">
        <f t="shared" si="146"/>
        <v>647357.41403306916</v>
      </c>
      <c r="AI45" s="186">
        <f t="shared" si="146"/>
        <v>259386.30302540021</v>
      </c>
      <c r="AJ45" s="186">
        <f t="shared" si="146"/>
        <v>279325.8908050044</v>
      </c>
      <c r="AK45" s="186">
        <f t="shared" si="146"/>
        <v>1244399.5841505413</v>
      </c>
      <c r="AL45" s="186">
        <f t="shared" si="146"/>
        <v>717740.02218569873</v>
      </c>
      <c r="AM45" s="186">
        <f t="shared" si="146"/>
        <v>-668084.06894046708</v>
      </c>
      <c r="AN45" s="186">
        <f t="shared" ref="AN45:AQ45" si="147">SUM(AN41:AN44)</f>
        <v>0</v>
      </c>
      <c r="AO45" s="186">
        <f t="shared" si="147"/>
        <v>0</v>
      </c>
      <c r="AP45" s="186">
        <f t="shared" si="147"/>
        <v>0</v>
      </c>
      <c r="AQ45" s="186">
        <f t="shared" si="147"/>
        <v>0</v>
      </c>
    </row>
    <row r="46" spans="1:43">
      <c r="A46" s="326"/>
      <c r="B46" s="326" t="s">
        <v>207</v>
      </c>
      <c r="C46" s="322"/>
      <c r="D46" s="190">
        <f>D40+D45</f>
        <v>0</v>
      </c>
      <c r="E46" s="190">
        <f>E40+E45</f>
        <v>0</v>
      </c>
      <c r="F46" s="190">
        <f t="shared" ref="F46:M46" si="148">F40+F45</f>
        <v>0</v>
      </c>
      <c r="G46" s="190">
        <f t="shared" si="148"/>
        <v>0</v>
      </c>
      <c r="H46" s="190">
        <f t="shared" si="148"/>
        <v>0</v>
      </c>
      <c r="I46" s="190">
        <f t="shared" si="148"/>
        <v>0</v>
      </c>
      <c r="J46" s="190">
        <f t="shared" si="148"/>
        <v>-199465.60817156127</v>
      </c>
      <c r="K46" s="190">
        <f t="shared" si="148"/>
        <v>640444.03112079646</v>
      </c>
      <c r="L46" s="190">
        <f t="shared" si="148"/>
        <v>507915.77304489387</v>
      </c>
      <c r="M46" s="190">
        <f t="shared" si="148"/>
        <v>404431.40087758645</v>
      </c>
      <c r="N46" s="190">
        <f t="shared" ref="N46:AA46" si="149">N40+N45</f>
        <v>1105202.2605628944</v>
      </c>
      <c r="O46" s="190">
        <f t="shared" si="149"/>
        <v>286419.05858386646</v>
      </c>
      <c r="P46" s="190">
        <f t="shared" si="149"/>
        <v>1341192.9534952273</v>
      </c>
      <c r="Q46" s="190">
        <f t="shared" si="149"/>
        <v>523882.64398179576</v>
      </c>
      <c r="R46" s="190">
        <f t="shared" si="149"/>
        <v>1482052.6553668785</v>
      </c>
      <c r="S46" s="190">
        <f t="shared" si="149"/>
        <v>2266995.2812781716</v>
      </c>
      <c r="T46" s="190">
        <f t="shared" si="149"/>
        <v>2052782.7193476232</v>
      </c>
      <c r="U46" s="190">
        <f t="shared" si="149"/>
        <v>2725822.7582124844</v>
      </c>
      <c r="V46" s="190">
        <f t="shared" si="149"/>
        <v>2989154.0642003417</v>
      </c>
      <c r="W46" s="190">
        <f t="shared" si="149"/>
        <v>3027270.3802636154</v>
      </c>
      <c r="X46" s="190">
        <f t="shared" si="149"/>
        <v>3376249.6029822449</v>
      </c>
      <c r="Y46" s="190">
        <f t="shared" si="149"/>
        <v>4662532.9972754084</v>
      </c>
      <c r="Z46" s="190">
        <f t="shared" si="149"/>
        <v>4241192.6902960446</v>
      </c>
      <c r="AA46" s="190">
        <f t="shared" si="149"/>
        <v>5611247.5599752879</v>
      </c>
      <c r="AB46" s="190">
        <f t="shared" ref="AB46:AM46" si="150">AB40+AB45</f>
        <v>7101704.1663728394</v>
      </c>
      <c r="AC46" s="190">
        <f t="shared" si="150"/>
        <v>9923249.7587148584</v>
      </c>
      <c r="AD46" s="190">
        <f t="shared" si="150"/>
        <v>11775518.935626514</v>
      </c>
      <c r="AE46" s="190">
        <f t="shared" si="150"/>
        <v>12289432.012997026</v>
      </c>
      <c r="AF46" s="190">
        <f t="shared" si="150"/>
        <v>7246141.5101591153</v>
      </c>
      <c r="AG46" s="190">
        <f>AG40+AG45</f>
        <v>7974280.2420591097</v>
      </c>
      <c r="AH46" s="190">
        <f t="shared" si="150"/>
        <v>8621637.6560921781</v>
      </c>
      <c r="AI46" s="190">
        <f t="shared" si="150"/>
        <v>8881023.9591175783</v>
      </c>
      <c r="AJ46" s="190">
        <f t="shared" si="150"/>
        <v>9160349.8499225825</v>
      </c>
      <c r="AK46" s="190">
        <f t="shared" si="150"/>
        <v>10404749.434073124</v>
      </c>
      <c r="AL46" s="190">
        <f t="shared" si="150"/>
        <v>11122489.456258822</v>
      </c>
      <c r="AM46" s="190">
        <f t="shared" si="150"/>
        <v>10454405.387318356</v>
      </c>
      <c r="AN46" s="190">
        <f t="shared" ref="AN46:AQ46" si="151">AN40+AN45</f>
        <v>10454405.387318356</v>
      </c>
      <c r="AO46" s="190">
        <f t="shared" si="151"/>
        <v>10454405.387318356</v>
      </c>
      <c r="AP46" s="190">
        <f t="shared" si="151"/>
        <v>10454405.387318356</v>
      </c>
      <c r="AQ46" s="190">
        <f t="shared" si="151"/>
        <v>10454405.387318356</v>
      </c>
    </row>
    <row r="47" spans="1:43">
      <c r="A47" s="326"/>
      <c r="B47" s="326"/>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row>
    <row r="48" spans="1:43">
      <c r="A48" s="331" t="s">
        <v>219</v>
      </c>
      <c r="B48" s="326"/>
      <c r="C48" s="306" t="s">
        <v>220</v>
      </c>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row>
    <row r="49" spans="1:43">
      <c r="A49" s="326"/>
      <c r="B49" s="326" t="s">
        <v>203</v>
      </c>
      <c r="C49" s="306">
        <v>25400362</v>
      </c>
      <c r="D49" s="190">
        <v>0</v>
      </c>
      <c r="E49" s="190">
        <f>D54</f>
        <v>0</v>
      </c>
      <c r="F49" s="190">
        <f t="shared" ref="F49:M49" si="152">E54</f>
        <v>0</v>
      </c>
      <c r="G49" s="190">
        <f t="shared" si="152"/>
        <v>0</v>
      </c>
      <c r="H49" s="190">
        <f t="shared" si="152"/>
        <v>0</v>
      </c>
      <c r="I49" s="190">
        <f t="shared" si="152"/>
        <v>0</v>
      </c>
      <c r="J49" s="190">
        <f t="shared" si="152"/>
        <v>0</v>
      </c>
      <c r="K49" s="190">
        <f t="shared" si="152"/>
        <v>1284.0066939518738</v>
      </c>
      <c r="L49" s="190">
        <f t="shared" si="152"/>
        <v>4341.1333758918017</v>
      </c>
      <c r="M49" s="190">
        <f t="shared" si="152"/>
        <v>8261.1683375367065</v>
      </c>
      <c r="N49" s="190">
        <f t="shared" ref="N49:AA49" si="153">M54</f>
        <v>8657.6045126706322</v>
      </c>
      <c r="O49" s="190">
        <f t="shared" si="153"/>
        <v>5526.3564466285134</v>
      </c>
      <c r="P49" s="190">
        <f t="shared" si="153"/>
        <v>-3236.9149669691233</v>
      </c>
      <c r="Q49" s="190">
        <f t="shared" si="153"/>
        <v>-18586.850261705717</v>
      </c>
      <c r="R49" s="190">
        <f t="shared" si="153"/>
        <v>-35885.738058808565</v>
      </c>
      <c r="S49" s="190">
        <f t="shared" si="153"/>
        <v>-52133.075360370916</v>
      </c>
      <c r="T49" s="190">
        <f t="shared" si="153"/>
        <v>-62651.997523362865</v>
      </c>
      <c r="U49" s="190">
        <f t="shared" si="153"/>
        <v>-62224.023238263217</v>
      </c>
      <c r="V49" s="190">
        <f t="shared" si="153"/>
        <v>-58914.294616057654</v>
      </c>
      <c r="W49" s="190">
        <f t="shared" si="153"/>
        <v>-52223.144096762742</v>
      </c>
      <c r="X49" s="190">
        <f t="shared" si="153"/>
        <v>-42335.152024059025</v>
      </c>
      <c r="Y49" s="190">
        <f t="shared" si="153"/>
        <v>-27903.482956902182</v>
      </c>
      <c r="Z49" s="190">
        <f t="shared" si="153"/>
        <v>-2377.6760530606007</v>
      </c>
      <c r="AA49" s="190">
        <f t="shared" si="153"/>
        <v>34198.304514755</v>
      </c>
      <c r="AB49" s="190">
        <f t="shared" ref="AB49" si="154">AA54</f>
        <v>81585.61324446628</v>
      </c>
      <c r="AC49" s="190">
        <f t="shared" ref="AC49" si="155">AB54</f>
        <v>146725.01336098689</v>
      </c>
      <c r="AD49" s="190">
        <f t="shared" ref="AD49" si="156">AC54</f>
        <v>237472.40517599275</v>
      </c>
      <c r="AE49" s="190">
        <f t="shared" ref="AE49" si="157">AD54</f>
        <v>311563.46166926884</v>
      </c>
      <c r="AF49" s="190">
        <f t="shared" ref="AF49" si="158">AE54</f>
        <v>433699.8479631099</v>
      </c>
      <c r="AG49" s="190">
        <f t="shared" ref="AG49" si="159">AF54</f>
        <v>498146.16867636028</v>
      </c>
      <c r="AH49" s="190">
        <f t="shared" ref="AH49" si="160">AG54</f>
        <v>632459.38582012407</v>
      </c>
      <c r="AI49" s="190">
        <f t="shared" ref="AI49" si="161">AH54</f>
        <v>771782.07454367937</v>
      </c>
      <c r="AJ49" s="190">
        <f t="shared" ref="AJ49" si="162">AI54</f>
        <v>914267.58261074638</v>
      </c>
      <c r="AK49" s="190">
        <f t="shared" ref="AK49" si="163">AJ54</f>
        <v>1058589.2578078804</v>
      </c>
      <c r="AL49" s="190">
        <f t="shared" ref="AL49" si="164">AK54</f>
        <v>1210017.9538901218</v>
      </c>
      <c r="AM49" s="190">
        <f t="shared" ref="AM49" si="165">AL54</f>
        <v>1366541.619374169</v>
      </c>
      <c r="AN49" s="190">
        <f t="shared" ref="AN49" si="166">AM54</f>
        <v>1522589.184489547</v>
      </c>
      <c r="AO49" s="190">
        <f t="shared" ref="AO49" si="167">AN54</f>
        <v>1522589.184489547</v>
      </c>
      <c r="AP49" s="190">
        <f t="shared" ref="AP49" si="168">AO54</f>
        <v>1522589.184489547</v>
      </c>
      <c r="AQ49" s="190">
        <f t="shared" ref="AQ49" si="169">AP54</f>
        <v>1522589.184489547</v>
      </c>
    </row>
    <row r="50" spans="1:43" s="187" customFormat="1">
      <c r="B50" s="238" t="s">
        <v>204</v>
      </c>
      <c r="C50" s="238"/>
      <c r="D50" s="185">
        <v>0</v>
      </c>
      <c r="E50" s="185">
        <v>0</v>
      </c>
      <c r="F50" s="185">
        <v>0</v>
      </c>
      <c r="G50" s="185">
        <v>0</v>
      </c>
      <c r="H50" s="185">
        <v>0</v>
      </c>
      <c r="I50" s="185">
        <v>0</v>
      </c>
      <c r="J50" s="185">
        <v>0</v>
      </c>
      <c r="K50" s="185">
        <v>0</v>
      </c>
      <c r="L50" s="185">
        <v>0</v>
      </c>
      <c r="M50" s="185">
        <v>0</v>
      </c>
      <c r="N50" s="185">
        <v>0</v>
      </c>
      <c r="O50" s="185">
        <v>0</v>
      </c>
      <c r="P50" s="185">
        <v>0</v>
      </c>
      <c r="Q50" s="185">
        <v>0</v>
      </c>
      <c r="R50" s="185">
        <v>0</v>
      </c>
      <c r="S50" s="185">
        <v>0</v>
      </c>
      <c r="T50" s="185">
        <v>3236.9149669691201</v>
      </c>
      <c r="U50" s="185">
        <v>0</v>
      </c>
      <c r="V50" s="185">
        <v>0</v>
      </c>
      <c r="W50" s="185">
        <v>0</v>
      </c>
      <c r="X50" s="185">
        <v>0</v>
      </c>
      <c r="Y50" s="185">
        <v>0</v>
      </c>
      <c r="Z50" s="185">
        <v>0</v>
      </c>
      <c r="AA50" s="185">
        <v>0</v>
      </c>
      <c r="AB50" s="185">
        <v>0</v>
      </c>
      <c r="AC50" s="185">
        <v>0</v>
      </c>
      <c r="AD50" s="185">
        <v>0</v>
      </c>
      <c r="AE50" s="185">
        <v>0</v>
      </c>
      <c r="AF50" s="185">
        <v>-64504.856084693231</v>
      </c>
      <c r="AG50" s="185">
        <v>0</v>
      </c>
      <c r="AH50" s="185">
        <v>0</v>
      </c>
      <c r="AI50" s="185">
        <v>0</v>
      </c>
      <c r="AJ50" s="185">
        <v>0</v>
      </c>
      <c r="AK50" s="185">
        <v>0</v>
      </c>
      <c r="AL50" s="185">
        <v>0</v>
      </c>
      <c r="AM50" s="185">
        <v>0</v>
      </c>
      <c r="AN50" s="185">
        <v>0</v>
      </c>
      <c r="AO50" s="185">
        <v>0</v>
      </c>
      <c r="AP50" s="185">
        <v>0</v>
      </c>
      <c r="AQ50" s="185">
        <v>0</v>
      </c>
    </row>
    <row r="51" spans="1:43" s="187" customFormat="1">
      <c r="B51" s="462" t="s">
        <v>214</v>
      </c>
      <c r="C51" s="238"/>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v>-43442.168179630316</v>
      </c>
      <c r="AE51" s="185">
        <v>-540.27630914234032</v>
      </c>
      <c r="AF51" s="185">
        <v>18.420486301023629</v>
      </c>
      <c r="AG51" s="185">
        <v>-3.6272497081372421</v>
      </c>
      <c r="AH51" s="185">
        <v>-0.7100047470012214</v>
      </c>
      <c r="AI51" s="185"/>
      <c r="AJ51" s="185"/>
      <c r="AK51" s="185"/>
      <c r="AL51" s="185"/>
      <c r="AM51" s="185"/>
      <c r="AN51" s="185"/>
      <c r="AO51" s="185"/>
      <c r="AP51" s="185"/>
      <c r="AQ51" s="185"/>
    </row>
    <row r="52" spans="1:43" s="184" customFormat="1">
      <c r="A52" s="238"/>
      <c r="B52" s="238" t="s">
        <v>221</v>
      </c>
      <c r="C52" s="189"/>
      <c r="D52" s="185">
        <v>0</v>
      </c>
      <c r="E52" s="185">
        <v>0</v>
      </c>
      <c r="F52" s="185">
        <v>0</v>
      </c>
      <c r="G52" s="185">
        <v>0</v>
      </c>
      <c r="H52" s="185">
        <v>0</v>
      </c>
      <c r="I52" s="185">
        <v>0</v>
      </c>
      <c r="J52" s="447">
        <v>1284.0066939518738</v>
      </c>
      <c r="K52" s="447">
        <v>3057.1266819399279</v>
      </c>
      <c r="L52" s="447">
        <v>3920.0349616449039</v>
      </c>
      <c r="M52" s="447">
        <v>396.43617513392496</v>
      </c>
      <c r="N52" s="447">
        <v>-3131.2480660421193</v>
      </c>
      <c r="O52" s="447">
        <v>-8763.2714135976366</v>
      </c>
      <c r="P52" s="447">
        <v>-15349.935294736591</v>
      </c>
      <c r="Q52" s="447">
        <v>-17298.887797102845</v>
      </c>
      <c r="R52" s="447">
        <v>-16247.337301562349</v>
      </c>
      <c r="S52" s="447">
        <v>-10518.922162991952</v>
      </c>
      <c r="T52" s="447">
        <v>-2808.9406818694733</v>
      </c>
      <c r="U52" s="447">
        <v>3309.7286222055645</v>
      </c>
      <c r="V52" s="447">
        <v>6691.1505192949126</v>
      </c>
      <c r="W52" s="447">
        <v>9887.992072703717</v>
      </c>
      <c r="X52" s="447">
        <v>14431.669067156841</v>
      </c>
      <c r="Y52" s="447">
        <v>25525.806903841582</v>
      </c>
      <c r="Z52" s="447">
        <v>36575.980567815604</v>
      </c>
      <c r="AA52" s="447">
        <v>47387.30872971128</v>
      </c>
      <c r="AB52" s="307">
        <f>'Res Deferral Calc 2015'!C29</f>
        <v>65139.400116520614</v>
      </c>
      <c r="AC52" s="307">
        <f>'Res Deferral Calc 2015'!D29</f>
        <v>90747.391815005874</v>
      </c>
      <c r="AD52" s="307">
        <f>'Res Deferral Calc 2015'!E29-AD51</f>
        <v>117533.22467290639</v>
      </c>
      <c r="AE52" s="307">
        <f>'Res Deferral Calc 2015'!F29-AE51</f>
        <v>122676.6626029834</v>
      </c>
      <c r="AF52" s="307">
        <f>'Res Deferral Calc 2015'!G29-AF51</f>
        <v>128932.75631164259</v>
      </c>
      <c r="AG52" s="307">
        <f>'Res Deferral Calc 2015'!H29-AG51</f>
        <v>134316.84439347195</v>
      </c>
      <c r="AH52" s="307">
        <f>'Res Deferral Calc 2015'!I29-AH51</f>
        <v>139323.39872830227</v>
      </c>
      <c r="AI52" s="307">
        <f>'Res Deferral Calc 2015'!J29</f>
        <v>142485.50806706704</v>
      </c>
      <c r="AJ52" s="307">
        <f>'Res Deferral Calc 2015'!K29</f>
        <v>144321.67519713409</v>
      </c>
      <c r="AK52" s="307">
        <f>'Res Deferral Calc 2015'!L29</f>
        <v>151428.69608224137</v>
      </c>
      <c r="AL52" s="307">
        <f>'Res Deferral Calc 2015'!M29</f>
        <v>156523.66548404726</v>
      </c>
      <c r="AM52" s="307">
        <f>'Res Deferral Calc 2015'!N29</f>
        <v>156047.56511537798</v>
      </c>
      <c r="AN52" s="307">
        <v>0</v>
      </c>
      <c r="AO52" s="307">
        <v>0</v>
      </c>
      <c r="AP52" s="307">
        <v>0</v>
      </c>
      <c r="AQ52" s="307">
        <v>0</v>
      </c>
    </row>
    <row r="53" spans="1:43">
      <c r="A53" s="326"/>
      <c r="B53" s="326" t="s">
        <v>206</v>
      </c>
      <c r="C53" s="322"/>
      <c r="D53" s="186">
        <f>SUM(D50:D52)</f>
        <v>0</v>
      </c>
      <c r="E53" s="186">
        <f>SUM(E50:E52)</f>
        <v>0</v>
      </c>
      <c r="F53" s="186">
        <f t="shared" ref="F53:M53" si="170">SUM(F50:F52)</f>
        <v>0</v>
      </c>
      <c r="G53" s="186">
        <f t="shared" si="170"/>
        <v>0</v>
      </c>
      <c r="H53" s="186">
        <f t="shared" si="170"/>
        <v>0</v>
      </c>
      <c r="I53" s="186">
        <f t="shared" si="170"/>
        <v>0</v>
      </c>
      <c r="J53" s="186">
        <f t="shared" si="170"/>
        <v>1284.0066939518738</v>
      </c>
      <c r="K53" s="186">
        <f t="shared" si="170"/>
        <v>3057.1266819399279</v>
      </c>
      <c r="L53" s="186">
        <f t="shared" si="170"/>
        <v>3920.0349616449039</v>
      </c>
      <c r="M53" s="186">
        <f t="shared" si="170"/>
        <v>396.43617513392496</v>
      </c>
      <c r="N53" s="186">
        <f t="shared" ref="N53:AA53" si="171">SUM(N50:N52)</f>
        <v>-3131.2480660421193</v>
      </c>
      <c r="O53" s="186">
        <f t="shared" si="171"/>
        <v>-8763.2714135976366</v>
      </c>
      <c r="P53" s="186">
        <f t="shared" si="171"/>
        <v>-15349.935294736591</v>
      </c>
      <c r="Q53" s="186">
        <f t="shared" si="171"/>
        <v>-17298.887797102845</v>
      </c>
      <c r="R53" s="186">
        <f t="shared" si="171"/>
        <v>-16247.337301562349</v>
      </c>
      <c r="S53" s="186">
        <f t="shared" si="171"/>
        <v>-10518.922162991952</v>
      </c>
      <c r="T53" s="186">
        <f t="shared" si="171"/>
        <v>427.97428509964675</v>
      </c>
      <c r="U53" s="186">
        <f t="shared" si="171"/>
        <v>3309.7286222055645</v>
      </c>
      <c r="V53" s="186">
        <f t="shared" si="171"/>
        <v>6691.1505192949126</v>
      </c>
      <c r="W53" s="186">
        <f t="shared" si="171"/>
        <v>9887.992072703717</v>
      </c>
      <c r="X53" s="186">
        <f t="shared" si="171"/>
        <v>14431.669067156841</v>
      </c>
      <c r="Y53" s="186">
        <f t="shared" si="171"/>
        <v>25525.806903841582</v>
      </c>
      <c r="Z53" s="186">
        <f t="shared" si="171"/>
        <v>36575.980567815604</v>
      </c>
      <c r="AA53" s="186">
        <f t="shared" si="171"/>
        <v>47387.30872971128</v>
      </c>
      <c r="AB53" s="186">
        <f t="shared" ref="AB53:AM53" si="172">SUM(AB50:AB52)</f>
        <v>65139.400116520614</v>
      </c>
      <c r="AC53" s="186">
        <f t="shared" si="172"/>
        <v>90747.391815005874</v>
      </c>
      <c r="AD53" s="186">
        <f t="shared" si="172"/>
        <v>74091.056493276075</v>
      </c>
      <c r="AE53" s="186">
        <f t="shared" si="172"/>
        <v>122136.38629384106</v>
      </c>
      <c r="AF53" s="186">
        <f t="shared" si="172"/>
        <v>64446.320713250381</v>
      </c>
      <c r="AG53" s="186">
        <f t="shared" si="172"/>
        <v>134313.21714376382</v>
      </c>
      <c r="AH53" s="186">
        <f t="shared" si="172"/>
        <v>139322.68872355527</v>
      </c>
      <c r="AI53" s="186">
        <f t="shared" si="172"/>
        <v>142485.50806706704</v>
      </c>
      <c r="AJ53" s="186">
        <f t="shared" si="172"/>
        <v>144321.67519713409</v>
      </c>
      <c r="AK53" s="186">
        <f t="shared" si="172"/>
        <v>151428.69608224137</v>
      </c>
      <c r="AL53" s="186">
        <f t="shared" si="172"/>
        <v>156523.66548404726</v>
      </c>
      <c r="AM53" s="186">
        <f t="shared" si="172"/>
        <v>156047.56511537798</v>
      </c>
      <c r="AN53" s="186">
        <f t="shared" ref="AN53:AQ53" si="173">SUM(AN50:AN52)</f>
        <v>0</v>
      </c>
      <c r="AO53" s="186">
        <f t="shared" si="173"/>
        <v>0</v>
      </c>
      <c r="AP53" s="186">
        <f t="shared" si="173"/>
        <v>0</v>
      </c>
      <c r="AQ53" s="186">
        <f t="shared" si="173"/>
        <v>0</v>
      </c>
    </row>
    <row r="54" spans="1:43">
      <c r="A54" s="326"/>
      <c r="B54" s="326" t="s">
        <v>207</v>
      </c>
      <c r="C54" s="322"/>
      <c r="D54" s="190">
        <f>D49+D53</f>
        <v>0</v>
      </c>
      <c r="E54" s="190">
        <f>E49+E53</f>
        <v>0</v>
      </c>
      <c r="F54" s="190">
        <f t="shared" ref="F54:M54" si="174">F49+F53</f>
        <v>0</v>
      </c>
      <c r="G54" s="190">
        <f t="shared" si="174"/>
        <v>0</v>
      </c>
      <c r="H54" s="190">
        <f t="shared" si="174"/>
        <v>0</v>
      </c>
      <c r="I54" s="190">
        <f t="shared" si="174"/>
        <v>0</v>
      </c>
      <c r="J54" s="190">
        <f t="shared" si="174"/>
        <v>1284.0066939518738</v>
      </c>
      <c r="K54" s="190">
        <f t="shared" si="174"/>
        <v>4341.1333758918017</v>
      </c>
      <c r="L54" s="190">
        <f t="shared" si="174"/>
        <v>8261.1683375367065</v>
      </c>
      <c r="M54" s="190">
        <f t="shared" si="174"/>
        <v>8657.6045126706322</v>
      </c>
      <c r="N54" s="190">
        <f t="shared" ref="N54:AA54" si="175">N49+N53</f>
        <v>5526.3564466285134</v>
      </c>
      <c r="O54" s="190">
        <f t="shared" si="175"/>
        <v>-3236.9149669691233</v>
      </c>
      <c r="P54" s="190">
        <f t="shared" si="175"/>
        <v>-18586.850261705717</v>
      </c>
      <c r="Q54" s="190">
        <f t="shared" si="175"/>
        <v>-35885.738058808565</v>
      </c>
      <c r="R54" s="190">
        <f t="shared" si="175"/>
        <v>-52133.075360370916</v>
      </c>
      <c r="S54" s="190">
        <f t="shared" si="175"/>
        <v>-62651.997523362865</v>
      </c>
      <c r="T54" s="190">
        <f t="shared" si="175"/>
        <v>-62224.023238263217</v>
      </c>
      <c r="U54" s="190">
        <f t="shared" si="175"/>
        <v>-58914.294616057654</v>
      </c>
      <c r="V54" s="190">
        <f t="shared" si="175"/>
        <v>-52223.144096762742</v>
      </c>
      <c r="W54" s="190">
        <f t="shared" si="175"/>
        <v>-42335.152024059025</v>
      </c>
      <c r="X54" s="190">
        <f t="shared" si="175"/>
        <v>-27903.482956902182</v>
      </c>
      <c r="Y54" s="190">
        <f t="shared" si="175"/>
        <v>-2377.6760530606007</v>
      </c>
      <c r="Z54" s="190">
        <f t="shared" si="175"/>
        <v>34198.304514755</v>
      </c>
      <c r="AA54" s="190">
        <f t="shared" si="175"/>
        <v>81585.61324446628</v>
      </c>
      <c r="AB54" s="190">
        <f t="shared" ref="AB54:AM54" si="176">AB49+AB53</f>
        <v>146725.01336098689</v>
      </c>
      <c r="AC54" s="190">
        <f t="shared" si="176"/>
        <v>237472.40517599275</v>
      </c>
      <c r="AD54" s="190">
        <f t="shared" si="176"/>
        <v>311563.46166926884</v>
      </c>
      <c r="AE54" s="190">
        <f t="shared" si="176"/>
        <v>433699.8479631099</v>
      </c>
      <c r="AF54" s="190">
        <f t="shared" si="176"/>
        <v>498146.16867636028</v>
      </c>
      <c r="AG54" s="190">
        <f t="shared" si="176"/>
        <v>632459.38582012407</v>
      </c>
      <c r="AH54" s="190">
        <f t="shared" si="176"/>
        <v>771782.07454367937</v>
      </c>
      <c r="AI54" s="190">
        <f t="shared" si="176"/>
        <v>914267.58261074638</v>
      </c>
      <c r="AJ54" s="190">
        <f t="shared" si="176"/>
        <v>1058589.2578078804</v>
      </c>
      <c r="AK54" s="190">
        <f t="shared" si="176"/>
        <v>1210017.9538901218</v>
      </c>
      <c r="AL54" s="190">
        <f t="shared" si="176"/>
        <v>1366541.619374169</v>
      </c>
      <c r="AM54" s="190">
        <f t="shared" si="176"/>
        <v>1522589.184489547</v>
      </c>
      <c r="AN54" s="190">
        <f t="shared" ref="AN54:AQ54" si="177">AN49+AN53</f>
        <v>1522589.184489547</v>
      </c>
      <c r="AO54" s="190">
        <f t="shared" si="177"/>
        <v>1522589.184489547</v>
      </c>
      <c r="AP54" s="190">
        <f t="shared" si="177"/>
        <v>1522589.184489547</v>
      </c>
      <c r="AQ54" s="190">
        <f t="shared" si="177"/>
        <v>1522589.184489547</v>
      </c>
    </row>
    <row r="55" spans="1:43">
      <c r="A55" s="326"/>
      <c r="B55" s="326"/>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row>
    <row r="56" spans="1:43">
      <c r="A56" s="331" t="s">
        <v>222</v>
      </c>
      <c r="B56" s="326"/>
      <c r="C56" s="306" t="s">
        <v>223</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row>
    <row r="57" spans="1:43">
      <c r="A57" s="326"/>
      <c r="B57" s="326" t="s">
        <v>203</v>
      </c>
      <c r="C57" s="306">
        <v>25400372</v>
      </c>
      <c r="D57" s="190">
        <v>0</v>
      </c>
      <c r="E57" s="190">
        <f>D63</f>
        <v>0</v>
      </c>
      <c r="F57" s="190">
        <f t="shared" ref="F57:M57" si="178">E63</f>
        <v>0</v>
      </c>
      <c r="G57" s="190">
        <f t="shared" si="178"/>
        <v>0</v>
      </c>
      <c r="H57" s="190">
        <f t="shared" si="178"/>
        <v>0</v>
      </c>
      <c r="I57" s="190">
        <f t="shared" si="178"/>
        <v>0</v>
      </c>
      <c r="J57" s="190">
        <f t="shared" si="178"/>
        <v>0</v>
      </c>
      <c r="K57" s="190">
        <f t="shared" si="178"/>
        <v>-270.10967773232255</v>
      </c>
      <c r="L57" s="190">
        <f t="shared" si="178"/>
        <v>327.04860334476678</v>
      </c>
      <c r="M57" s="190">
        <f t="shared" si="178"/>
        <v>1882.1191714858055</v>
      </c>
      <c r="N57" s="190">
        <f t="shared" ref="N57:AA57" si="179">M63</f>
        <v>3117.5893028391642</v>
      </c>
      <c r="O57" s="190">
        <f t="shared" si="179"/>
        <v>5161.8848860398157</v>
      </c>
      <c r="P57" s="190">
        <f t="shared" si="179"/>
        <v>7046.372089051054</v>
      </c>
      <c r="Q57" s="190">
        <f t="shared" si="179"/>
        <v>8229.4107063713291</v>
      </c>
      <c r="R57" s="190">
        <f t="shared" si="179"/>
        <v>10755.033911288132</v>
      </c>
      <c r="S57" s="190">
        <f t="shared" si="179"/>
        <v>13471.404629156128</v>
      </c>
      <c r="T57" s="190">
        <f t="shared" si="179"/>
        <v>18548.2403766963</v>
      </c>
      <c r="U57" s="190">
        <f t="shared" si="179"/>
        <v>18687.2110565724</v>
      </c>
      <c r="V57" s="190">
        <f t="shared" si="179"/>
        <v>25777.618587885132</v>
      </c>
      <c r="W57" s="190">
        <f t="shared" si="179"/>
        <v>34115.596984266653</v>
      </c>
      <c r="X57" s="190">
        <f t="shared" si="179"/>
        <v>42840.684120012098</v>
      </c>
      <c r="Y57" s="190">
        <f t="shared" si="179"/>
        <v>52068.590315366506</v>
      </c>
      <c r="Z57" s="190">
        <f t="shared" si="179"/>
        <v>63485.09040279594</v>
      </c>
      <c r="AA57" s="190">
        <f t="shared" si="179"/>
        <v>76025.325798351492</v>
      </c>
      <c r="AB57" s="190">
        <f t="shared" ref="AB57" si="180">AA63</f>
        <v>89782.593653920965</v>
      </c>
      <c r="AC57" s="190">
        <f t="shared" ref="AC57" si="181">AB63</f>
        <v>107343.63419108556</v>
      </c>
      <c r="AD57" s="190">
        <f t="shared" ref="AD57" si="182">AC63</f>
        <v>130682.25630017476</v>
      </c>
      <c r="AE57" s="190">
        <f t="shared" ref="AE57" si="183">AD63</f>
        <v>162427.08876299986</v>
      </c>
      <c r="AF57" s="190">
        <f t="shared" ref="AF57" si="184">AE63</f>
        <v>195196.98022264199</v>
      </c>
      <c r="AG57" s="190">
        <f t="shared" ref="AG57" si="185">AF63</f>
        <v>137941.38909759611</v>
      </c>
      <c r="AH57" s="190">
        <f t="shared" ref="AH57" si="186">AG63</f>
        <v>172434.09260969472</v>
      </c>
      <c r="AI57" s="190">
        <f t="shared" ref="AI57" si="187">AH63</f>
        <v>208300.74431170165</v>
      </c>
      <c r="AJ57" s="190">
        <f t="shared" ref="AJ57" si="188">AI63</f>
        <v>244914.0247689978</v>
      </c>
      <c r="AK57" s="190">
        <f t="shared" ref="AK57" si="189">AJ63</f>
        <v>281732.09121055435</v>
      </c>
      <c r="AL57" s="190">
        <f t="shared" ref="AL57" si="190">AK63</f>
        <v>319966.10504216765</v>
      </c>
      <c r="AM57" s="190">
        <f t="shared" ref="AM57" si="191">AL63</f>
        <v>359822.84361630905</v>
      </c>
      <c r="AN57" s="190">
        <f t="shared" ref="AN57" si="192">AM63</f>
        <v>398148.00235802005</v>
      </c>
      <c r="AO57" s="190">
        <f t="shared" ref="AO57" si="193">AN63</f>
        <v>398148.00235802005</v>
      </c>
      <c r="AP57" s="190">
        <f t="shared" ref="AP57" si="194">AO63</f>
        <v>398148.00235802005</v>
      </c>
      <c r="AQ57" s="190">
        <f t="shared" ref="AQ57" si="195">AP63</f>
        <v>398148.00235802005</v>
      </c>
    </row>
    <row r="58" spans="1:43" s="187" customFormat="1">
      <c r="B58" s="238" t="s">
        <v>204</v>
      </c>
      <c r="C58" s="238"/>
      <c r="D58" s="185">
        <v>0</v>
      </c>
      <c r="E58" s="185">
        <v>0</v>
      </c>
      <c r="F58" s="185">
        <v>0</v>
      </c>
      <c r="G58" s="185">
        <v>0</v>
      </c>
      <c r="H58" s="185">
        <v>0</v>
      </c>
      <c r="I58" s="185">
        <v>0</v>
      </c>
      <c r="J58" s="185">
        <v>0</v>
      </c>
      <c r="K58" s="185">
        <v>0</v>
      </c>
      <c r="L58" s="185">
        <v>0</v>
      </c>
      <c r="M58" s="185">
        <v>0</v>
      </c>
      <c r="N58" s="185">
        <v>0</v>
      </c>
      <c r="O58" s="185">
        <v>0</v>
      </c>
      <c r="P58" s="185">
        <v>0</v>
      </c>
      <c r="Q58" s="185">
        <v>0</v>
      </c>
      <c r="R58" s="185">
        <v>0</v>
      </c>
      <c r="S58" s="185">
        <v>0</v>
      </c>
      <c r="T58" s="185">
        <v>-6025.3527733475603</v>
      </c>
      <c r="U58" s="185">
        <v>0</v>
      </c>
      <c r="V58" s="185">
        <v>0</v>
      </c>
      <c r="W58" s="185">
        <v>0</v>
      </c>
      <c r="X58" s="185">
        <v>0</v>
      </c>
      <c r="Y58" s="185">
        <v>0</v>
      </c>
      <c r="Z58" s="185">
        <v>0</v>
      </c>
      <c r="AA58" s="185">
        <v>0</v>
      </c>
      <c r="AB58" s="185">
        <v>0</v>
      </c>
      <c r="AC58" s="185">
        <v>0</v>
      </c>
      <c r="AD58" s="185">
        <v>0</v>
      </c>
      <c r="AE58" s="185">
        <v>0</v>
      </c>
      <c r="AF58" s="185">
        <v>-90857.603640329005</v>
      </c>
      <c r="AG58" s="185">
        <v>0</v>
      </c>
      <c r="AH58" s="185">
        <v>0</v>
      </c>
      <c r="AI58" s="185">
        <v>0</v>
      </c>
      <c r="AJ58" s="185">
        <v>0</v>
      </c>
      <c r="AK58" s="185">
        <v>0</v>
      </c>
      <c r="AL58" s="185">
        <v>0</v>
      </c>
      <c r="AM58" s="185">
        <v>0</v>
      </c>
      <c r="AN58" s="185">
        <v>0</v>
      </c>
      <c r="AO58" s="185">
        <v>0</v>
      </c>
      <c r="AP58" s="185">
        <v>0</v>
      </c>
      <c r="AQ58" s="185">
        <v>0</v>
      </c>
    </row>
    <row r="59" spans="1:43" s="187" customFormat="1">
      <c r="B59" s="462" t="s">
        <v>214</v>
      </c>
      <c r="C59" s="238"/>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v>2398.0286251418875</v>
      </c>
      <c r="AE59" s="185">
        <v>26.825181963260547</v>
      </c>
      <c r="AF59" s="185">
        <v>2.4037712059216574</v>
      </c>
      <c r="AG59" s="185">
        <v>0.52551718213362619</v>
      </c>
      <c r="AH59" s="185">
        <v>0.22795396090077702</v>
      </c>
      <c r="AI59" s="185"/>
      <c r="AJ59" s="185"/>
      <c r="AK59" s="185"/>
      <c r="AL59" s="185"/>
      <c r="AM59" s="185"/>
      <c r="AN59" s="185"/>
      <c r="AO59" s="185"/>
      <c r="AP59" s="185"/>
      <c r="AQ59" s="185"/>
    </row>
    <row r="60" spans="1:43" s="187" customFormat="1">
      <c r="B60" s="238" t="s">
        <v>224</v>
      </c>
      <c r="C60" s="238"/>
      <c r="D60" s="185"/>
      <c r="E60" s="185"/>
      <c r="F60" s="185"/>
      <c r="G60" s="185"/>
      <c r="H60" s="185"/>
      <c r="I60" s="185"/>
      <c r="J60" s="185"/>
      <c r="K60" s="185"/>
      <c r="L60" s="185"/>
      <c r="M60" s="185"/>
      <c r="N60" s="185"/>
      <c r="O60" s="185"/>
      <c r="P60" s="185">
        <v>-1021.0193157034977</v>
      </c>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row>
    <row r="61" spans="1:43" s="184" customFormat="1">
      <c r="A61" s="238"/>
      <c r="B61" s="238" t="s">
        <v>225</v>
      </c>
      <c r="C61" s="189"/>
      <c r="D61" s="185">
        <v>0</v>
      </c>
      <c r="E61" s="185">
        <v>0</v>
      </c>
      <c r="F61" s="185">
        <v>0</v>
      </c>
      <c r="G61" s="185">
        <v>0</v>
      </c>
      <c r="H61" s="185">
        <v>0</v>
      </c>
      <c r="I61" s="185">
        <v>0</v>
      </c>
      <c r="J61" s="447">
        <v>-270.10967773232255</v>
      </c>
      <c r="K61" s="447">
        <v>597.15828107708933</v>
      </c>
      <c r="L61" s="447">
        <v>1555.0705681410388</v>
      </c>
      <c r="M61" s="447">
        <v>1235.4701313533587</v>
      </c>
      <c r="N61" s="447">
        <v>2044.2955832006512</v>
      </c>
      <c r="O61" s="447">
        <v>1884.4872030112385</v>
      </c>
      <c r="P61" s="447">
        <v>2204.0579330237733</v>
      </c>
      <c r="Q61" s="447">
        <v>2525.6232049168025</v>
      </c>
      <c r="R61" s="447">
        <v>2716.3707178679965</v>
      </c>
      <c r="S61" s="447">
        <v>5076.8357475401726</v>
      </c>
      <c r="T61" s="447">
        <v>6164.3234532236611</v>
      </c>
      <c r="U61" s="447">
        <v>7090.4075313127314</v>
      </c>
      <c r="V61" s="447">
        <v>8337.9783963815207</v>
      </c>
      <c r="W61" s="447">
        <v>8725.0871357454453</v>
      </c>
      <c r="X61" s="447">
        <v>9227.9061953544078</v>
      </c>
      <c r="Y61" s="447">
        <v>11416.500087429433</v>
      </c>
      <c r="Z61" s="447">
        <v>12540.235395555559</v>
      </c>
      <c r="AA61" s="447">
        <v>13757.267855569475</v>
      </c>
      <c r="AB61" s="307">
        <f>'Non-Res Deferral Calc 2015'!C29</f>
        <v>17561.040537164594</v>
      </c>
      <c r="AC61" s="307">
        <f>'Non-Res Deferral Calc 2015'!D29</f>
        <v>23338.622109089203</v>
      </c>
      <c r="AD61" s="307">
        <f>'Non-Res Deferral Calc 2015'!E29-AD59</f>
        <v>29346.803837683223</v>
      </c>
      <c r="AE61" s="307">
        <f>'Non-Res Deferral Calc 2015'!F29-AE59</f>
        <v>32743.066277678863</v>
      </c>
      <c r="AF61" s="307">
        <f>'Non-Res Deferral Calc 2015'!G29-AF59</f>
        <v>33599.60874407721</v>
      </c>
      <c r="AG61" s="307">
        <f>'Non-Res Deferral Calc 2015'!H29-AG59</f>
        <v>34492.17799491647</v>
      </c>
      <c r="AH61" s="307">
        <f>'Non-Res Deferral Calc 2015'!I29-AH59</f>
        <v>35866.423748046029</v>
      </c>
      <c r="AI61" s="307">
        <f>'Non-Res Deferral Calc 2015'!J29</f>
        <v>36613.280457296132</v>
      </c>
      <c r="AJ61" s="307">
        <f>'Non-Res Deferral Calc 2015'!K29</f>
        <v>36818.066441556526</v>
      </c>
      <c r="AK61" s="307">
        <f>'Non-Res Deferral Calc 2015'!L29</f>
        <v>38234.013831613272</v>
      </c>
      <c r="AL61" s="307">
        <f>'Non-Res Deferral Calc 2015'!M29</f>
        <v>39856.738574141382</v>
      </c>
      <c r="AM61" s="307">
        <f>'Non-Res Deferral Calc 2015'!N29</f>
        <v>38325.15874171102</v>
      </c>
      <c r="AN61" s="307">
        <v>0</v>
      </c>
      <c r="AO61" s="307">
        <v>0</v>
      </c>
      <c r="AP61" s="307">
        <v>0</v>
      </c>
      <c r="AQ61" s="307">
        <v>0</v>
      </c>
    </row>
    <row r="62" spans="1:43">
      <c r="A62" s="326"/>
      <c r="B62" s="326" t="s">
        <v>206</v>
      </c>
      <c r="C62" s="322"/>
      <c r="D62" s="186">
        <f>SUM(D58:D61)</f>
        <v>0</v>
      </c>
      <c r="E62" s="186">
        <f>SUM(E58:E61)</f>
        <v>0</v>
      </c>
      <c r="F62" s="186">
        <f t="shared" ref="F62:M62" si="196">SUM(F58:F61)</f>
        <v>0</v>
      </c>
      <c r="G62" s="186">
        <f t="shared" si="196"/>
        <v>0</v>
      </c>
      <c r="H62" s="186">
        <f t="shared" si="196"/>
        <v>0</v>
      </c>
      <c r="I62" s="186">
        <f t="shared" si="196"/>
        <v>0</v>
      </c>
      <c r="J62" s="186">
        <f t="shared" si="196"/>
        <v>-270.10967773232255</v>
      </c>
      <c r="K62" s="186">
        <f t="shared" si="196"/>
        <v>597.15828107708933</v>
      </c>
      <c r="L62" s="186">
        <f t="shared" si="196"/>
        <v>1555.0705681410388</v>
      </c>
      <c r="M62" s="186">
        <f t="shared" si="196"/>
        <v>1235.4701313533587</v>
      </c>
      <c r="N62" s="186">
        <f t="shared" ref="N62:AA62" si="197">SUM(N58:N61)</f>
        <v>2044.2955832006512</v>
      </c>
      <c r="O62" s="186">
        <f t="shared" si="197"/>
        <v>1884.4872030112385</v>
      </c>
      <c r="P62" s="186">
        <f t="shared" si="197"/>
        <v>1183.0386173202755</v>
      </c>
      <c r="Q62" s="186">
        <f t="shared" si="197"/>
        <v>2525.6232049168025</v>
      </c>
      <c r="R62" s="186">
        <f t="shared" si="197"/>
        <v>2716.3707178679965</v>
      </c>
      <c r="S62" s="186">
        <f t="shared" si="197"/>
        <v>5076.8357475401726</v>
      </c>
      <c r="T62" s="186">
        <f t="shared" si="197"/>
        <v>138.9706798761008</v>
      </c>
      <c r="U62" s="186">
        <f t="shared" si="197"/>
        <v>7090.4075313127314</v>
      </c>
      <c r="V62" s="186">
        <f t="shared" si="197"/>
        <v>8337.9783963815207</v>
      </c>
      <c r="W62" s="186">
        <f t="shared" si="197"/>
        <v>8725.0871357454453</v>
      </c>
      <c r="X62" s="186">
        <f t="shared" si="197"/>
        <v>9227.9061953544078</v>
      </c>
      <c r="Y62" s="186">
        <f t="shared" si="197"/>
        <v>11416.500087429433</v>
      </c>
      <c r="Z62" s="186">
        <f t="shared" si="197"/>
        <v>12540.235395555559</v>
      </c>
      <c r="AA62" s="186">
        <f t="shared" si="197"/>
        <v>13757.267855569475</v>
      </c>
      <c r="AB62" s="186">
        <f t="shared" ref="AB62:AM62" si="198">SUM(AB58:AB61)</f>
        <v>17561.040537164594</v>
      </c>
      <c r="AC62" s="186">
        <f t="shared" si="198"/>
        <v>23338.622109089203</v>
      </c>
      <c r="AD62" s="186">
        <f t="shared" si="198"/>
        <v>31744.83246282511</v>
      </c>
      <c r="AE62" s="186">
        <f t="shared" si="198"/>
        <v>32769.891459642124</v>
      </c>
      <c r="AF62" s="186">
        <f t="shared" si="198"/>
        <v>-57255.591125045874</v>
      </c>
      <c r="AG62" s="186">
        <f t="shared" si="198"/>
        <v>34492.703512098604</v>
      </c>
      <c r="AH62" s="186">
        <f t="shared" si="198"/>
        <v>35866.65170200693</v>
      </c>
      <c r="AI62" s="186">
        <f t="shared" si="198"/>
        <v>36613.280457296132</v>
      </c>
      <c r="AJ62" s="186">
        <f t="shared" si="198"/>
        <v>36818.066441556526</v>
      </c>
      <c r="AK62" s="186">
        <f t="shared" si="198"/>
        <v>38234.013831613272</v>
      </c>
      <c r="AL62" s="186">
        <f t="shared" si="198"/>
        <v>39856.738574141382</v>
      </c>
      <c r="AM62" s="186">
        <f t="shared" si="198"/>
        <v>38325.15874171102</v>
      </c>
      <c r="AN62" s="186">
        <f t="shared" ref="AN62:AQ62" si="199">SUM(AN58:AN61)</f>
        <v>0</v>
      </c>
      <c r="AO62" s="186">
        <f t="shared" si="199"/>
        <v>0</v>
      </c>
      <c r="AP62" s="186">
        <f t="shared" si="199"/>
        <v>0</v>
      </c>
      <c r="AQ62" s="186">
        <f t="shared" si="199"/>
        <v>0</v>
      </c>
    </row>
    <row r="63" spans="1:43">
      <c r="A63" s="326"/>
      <c r="B63" s="326" t="s">
        <v>207</v>
      </c>
      <c r="C63" s="322"/>
      <c r="D63" s="190">
        <f>D57+D62</f>
        <v>0</v>
      </c>
      <c r="E63" s="190">
        <f>E57+E62</f>
        <v>0</v>
      </c>
      <c r="F63" s="190">
        <f t="shared" ref="F63:M63" si="200">F57+F62</f>
        <v>0</v>
      </c>
      <c r="G63" s="190">
        <f t="shared" si="200"/>
        <v>0</v>
      </c>
      <c r="H63" s="190">
        <f t="shared" si="200"/>
        <v>0</v>
      </c>
      <c r="I63" s="190">
        <f t="shared" si="200"/>
        <v>0</v>
      </c>
      <c r="J63" s="190">
        <f t="shared" si="200"/>
        <v>-270.10967773232255</v>
      </c>
      <c r="K63" s="190">
        <f t="shared" si="200"/>
        <v>327.04860334476678</v>
      </c>
      <c r="L63" s="190">
        <f t="shared" si="200"/>
        <v>1882.1191714858055</v>
      </c>
      <c r="M63" s="190">
        <f t="shared" si="200"/>
        <v>3117.5893028391642</v>
      </c>
      <c r="N63" s="190">
        <f t="shared" ref="N63:AA63" si="201">N57+N62</f>
        <v>5161.8848860398157</v>
      </c>
      <c r="O63" s="190">
        <f t="shared" si="201"/>
        <v>7046.372089051054</v>
      </c>
      <c r="P63" s="190">
        <f t="shared" si="201"/>
        <v>8229.4107063713291</v>
      </c>
      <c r="Q63" s="190">
        <f t="shared" si="201"/>
        <v>10755.033911288132</v>
      </c>
      <c r="R63" s="190">
        <f t="shared" si="201"/>
        <v>13471.404629156128</v>
      </c>
      <c r="S63" s="190">
        <f t="shared" si="201"/>
        <v>18548.2403766963</v>
      </c>
      <c r="T63" s="190">
        <f t="shared" si="201"/>
        <v>18687.2110565724</v>
      </c>
      <c r="U63" s="190">
        <f t="shared" si="201"/>
        <v>25777.618587885132</v>
      </c>
      <c r="V63" s="190">
        <f t="shared" si="201"/>
        <v>34115.596984266653</v>
      </c>
      <c r="W63" s="190">
        <f t="shared" si="201"/>
        <v>42840.684120012098</v>
      </c>
      <c r="X63" s="190">
        <f t="shared" si="201"/>
        <v>52068.590315366506</v>
      </c>
      <c r="Y63" s="190">
        <f t="shared" si="201"/>
        <v>63485.09040279594</v>
      </c>
      <c r="Z63" s="190">
        <f t="shared" si="201"/>
        <v>76025.325798351492</v>
      </c>
      <c r="AA63" s="190">
        <f t="shared" si="201"/>
        <v>89782.593653920965</v>
      </c>
      <c r="AB63" s="190">
        <f t="shared" ref="AB63:AM63" si="202">AB57+AB62</f>
        <v>107343.63419108556</v>
      </c>
      <c r="AC63" s="190">
        <f t="shared" si="202"/>
        <v>130682.25630017476</v>
      </c>
      <c r="AD63" s="190">
        <f t="shared" si="202"/>
        <v>162427.08876299986</v>
      </c>
      <c r="AE63" s="190">
        <f t="shared" si="202"/>
        <v>195196.98022264199</v>
      </c>
      <c r="AF63" s="190">
        <f t="shared" si="202"/>
        <v>137941.38909759611</v>
      </c>
      <c r="AG63" s="190">
        <f t="shared" si="202"/>
        <v>172434.09260969472</v>
      </c>
      <c r="AH63" s="190">
        <f t="shared" si="202"/>
        <v>208300.74431170165</v>
      </c>
      <c r="AI63" s="190">
        <f t="shared" si="202"/>
        <v>244914.0247689978</v>
      </c>
      <c r="AJ63" s="190">
        <f t="shared" si="202"/>
        <v>281732.09121055435</v>
      </c>
      <c r="AK63" s="190">
        <f t="shared" si="202"/>
        <v>319966.10504216765</v>
      </c>
      <c r="AL63" s="190">
        <f t="shared" si="202"/>
        <v>359822.84361630905</v>
      </c>
      <c r="AM63" s="190">
        <f t="shared" si="202"/>
        <v>398148.00235802005</v>
      </c>
      <c r="AN63" s="190">
        <f t="shared" ref="AN63:AQ63" si="203">AN57+AN62</f>
        <v>398148.00235802005</v>
      </c>
      <c r="AO63" s="190">
        <f t="shared" si="203"/>
        <v>398148.00235802005</v>
      </c>
      <c r="AP63" s="190">
        <f t="shared" si="203"/>
        <v>398148.00235802005</v>
      </c>
      <c r="AQ63" s="190">
        <f t="shared" si="203"/>
        <v>398148.00235802005</v>
      </c>
    </row>
    <row r="64" spans="1:43">
      <c r="A64" s="326"/>
      <c r="B64" s="326"/>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row>
    <row r="65" spans="1:43">
      <c r="A65" s="331" t="s">
        <v>226</v>
      </c>
      <c r="B65" s="326"/>
      <c r="C65" s="322"/>
      <c r="D65" s="322"/>
      <c r="E65" s="322"/>
      <c r="F65" s="322"/>
      <c r="G65" s="322"/>
      <c r="H65" s="322"/>
      <c r="I65" s="322"/>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row>
    <row r="66" spans="1:43">
      <c r="A66" s="326"/>
      <c r="B66" s="326" t="s">
        <v>203</v>
      </c>
      <c r="C66" s="322"/>
      <c r="D66" s="191">
        <f t="shared" ref="D66:AA66" si="204">SUM(D10,D17,D24,D32,D40,D49,D57)</f>
        <v>0</v>
      </c>
      <c r="E66" s="191">
        <f t="shared" si="204"/>
        <v>0</v>
      </c>
      <c r="F66" s="191">
        <f t="shared" si="204"/>
        <v>0</v>
      </c>
      <c r="G66" s="191">
        <f t="shared" si="204"/>
        <v>0</v>
      </c>
      <c r="H66" s="191">
        <f t="shared" si="204"/>
        <v>0</v>
      </c>
      <c r="I66" s="191">
        <f t="shared" si="204"/>
        <v>0</v>
      </c>
      <c r="J66" s="191">
        <f t="shared" si="204"/>
        <v>0</v>
      </c>
      <c r="K66" s="191">
        <f t="shared" si="204"/>
        <v>749737.8474552728</v>
      </c>
      <c r="L66" s="191">
        <f t="shared" si="204"/>
        <v>1954493.1273065959</v>
      </c>
      <c r="M66" s="191">
        <f t="shared" si="204"/>
        <v>2103473.1949466667</v>
      </c>
      <c r="N66" s="191">
        <f t="shared" si="204"/>
        <v>-876454.6719084481</v>
      </c>
      <c r="O66" s="191">
        <f t="shared" si="204"/>
        <v>96245.504342926535</v>
      </c>
      <c r="P66" s="191">
        <f t="shared" si="204"/>
        <v>-5161465.3767827461</v>
      </c>
      <c r="Q66" s="191">
        <f t="shared" si="204"/>
        <v>-4510284.2857031589</v>
      </c>
      <c r="R66" s="191">
        <f t="shared" si="204"/>
        <v>-6349645.2750357641</v>
      </c>
      <c r="S66" s="191">
        <f t="shared" si="204"/>
        <v>-3621199.2183005572</v>
      </c>
      <c r="T66" s="191">
        <f t="shared" si="204"/>
        <v>-395291.43456347223</v>
      </c>
      <c r="U66" s="191">
        <f t="shared" si="204"/>
        <v>2869591.5524839256</v>
      </c>
      <c r="V66" s="191">
        <f t="shared" si="204"/>
        <v>4813398.973706156</v>
      </c>
      <c r="W66" s="191">
        <f t="shared" si="204"/>
        <v>6306059.5743678417</v>
      </c>
      <c r="X66" s="191">
        <f t="shared" si="204"/>
        <v>7486315.7211054889</v>
      </c>
      <c r="Y66" s="191">
        <f t="shared" si="204"/>
        <v>10067645.199304987</v>
      </c>
      <c r="Z66" s="191">
        <f t="shared" si="204"/>
        <v>17348374.999355018</v>
      </c>
      <c r="AA66" s="191">
        <f t="shared" si="204"/>
        <v>19136236.663349822</v>
      </c>
      <c r="AB66" s="191">
        <f t="shared" ref="AB66:AM66" si="205">SUM(AB10,AB17,AB24,AB32,AB40,AB49,AB57)</f>
        <v>26333596.7102913</v>
      </c>
      <c r="AC66" s="191">
        <f t="shared" si="205"/>
        <v>35190730.370070435</v>
      </c>
      <c r="AD66" s="191">
        <f t="shared" si="205"/>
        <v>49699921.526344493</v>
      </c>
      <c r="AE66" s="191">
        <f t="shared" si="205"/>
        <v>55810706.812304921</v>
      </c>
      <c r="AF66" s="191">
        <f t="shared" si="205"/>
        <v>59689876.399274237</v>
      </c>
      <c r="AG66" s="191">
        <f t="shared" si="205"/>
        <v>61765156.45431073</v>
      </c>
      <c r="AH66" s="191">
        <f t="shared" si="205"/>
        <v>64627907.526688494</v>
      </c>
      <c r="AI66" s="191">
        <f t="shared" si="205"/>
        <v>66814543.589411832</v>
      </c>
      <c r="AJ66" s="191">
        <f t="shared" si="205"/>
        <v>67860877.209349275</v>
      </c>
      <c r="AK66" s="191">
        <f t="shared" si="205"/>
        <v>68672431.803057835</v>
      </c>
      <c r="AL66" s="191">
        <f t="shared" si="205"/>
        <v>74512850.992606893</v>
      </c>
      <c r="AM66" s="191">
        <f t="shared" si="205"/>
        <v>73996421.911651045</v>
      </c>
      <c r="AN66" s="191">
        <f t="shared" ref="AN66:AQ66" si="206">SUM(AN10,AN17,AN24,AN32,AN40,AN49,AN57)</f>
        <v>73385548.417645961</v>
      </c>
      <c r="AO66" s="191">
        <f t="shared" si="206"/>
        <v>71157768.093708426</v>
      </c>
      <c r="AP66" s="191">
        <f t="shared" si="206"/>
        <v>69454529.834715858</v>
      </c>
      <c r="AQ66" s="191">
        <f t="shared" si="206"/>
        <v>67520938.009404466</v>
      </c>
    </row>
    <row r="67" spans="1:43">
      <c r="A67" s="326"/>
      <c r="B67" s="326" t="s">
        <v>206</v>
      </c>
      <c r="C67" s="322"/>
      <c r="D67" s="192">
        <f t="shared" ref="D67:AA67" si="207">SUM(D13,D20,D28,D36,D45,D53,D62)</f>
        <v>0</v>
      </c>
      <c r="E67" s="192">
        <f t="shared" si="207"/>
        <v>0</v>
      </c>
      <c r="F67" s="192">
        <f t="shared" si="207"/>
        <v>0</v>
      </c>
      <c r="G67" s="192">
        <f t="shared" si="207"/>
        <v>0</v>
      </c>
      <c r="H67" s="192">
        <f t="shared" si="207"/>
        <v>0</v>
      </c>
      <c r="I67" s="192">
        <f t="shared" si="207"/>
        <v>0</v>
      </c>
      <c r="J67" s="192">
        <f t="shared" si="207"/>
        <v>749737.8474552728</v>
      </c>
      <c r="K67" s="192">
        <f t="shared" si="207"/>
        <v>1204755.2798513235</v>
      </c>
      <c r="L67" s="192">
        <f t="shared" si="207"/>
        <v>148980.06764007069</v>
      </c>
      <c r="M67" s="192">
        <f t="shared" si="207"/>
        <v>-2979927.8668551147</v>
      </c>
      <c r="N67" s="192">
        <f t="shared" si="207"/>
        <v>972700.17625137453</v>
      </c>
      <c r="O67" s="192">
        <f t="shared" si="207"/>
        <v>-5257710.8811256727</v>
      </c>
      <c r="P67" s="192">
        <f t="shared" si="207"/>
        <v>651181.0910795884</v>
      </c>
      <c r="Q67" s="192">
        <f t="shared" si="207"/>
        <v>-1839360.9893326061</v>
      </c>
      <c r="R67" s="192">
        <f t="shared" si="207"/>
        <v>2728446.0567352069</v>
      </c>
      <c r="S67" s="192">
        <f t="shared" si="207"/>
        <v>3225907.7837370848</v>
      </c>
      <c r="T67" s="192">
        <f t="shared" si="207"/>
        <v>3264882.9870473971</v>
      </c>
      <c r="U67" s="192">
        <f t="shared" si="207"/>
        <v>1943807.4212222304</v>
      </c>
      <c r="V67" s="192">
        <f t="shared" si="207"/>
        <v>1492660.6006616873</v>
      </c>
      <c r="W67" s="192">
        <f t="shared" si="207"/>
        <v>1180256.1467376454</v>
      </c>
      <c r="X67" s="192">
        <f t="shared" si="207"/>
        <v>2581329.4781994992</v>
      </c>
      <c r="Y67" s="192">
        <f t="shared" si="207"/>
        <v>7280729.8000500342</v>
      </c>
      <c r="Z67" s="192">
        <f t="shared" si="207"/>
        <v>1787861.6639948005</v>
      </c>
      <c r="AA67" s="192">
        <f t="shared" si="207"/>
        <v>7197360.0469414769</v>
      </c>
      <c r="AB67" s="192">
        <f t="shared" ref="AB67:AM67" si="208">SUM(AB13,AB20,AB28,AB36,AB45,AB53,AB62)</f>
        <v>8857133.659779137</v>
      </c>
      <c r="AC67" s="192">
        <f t="shared" si="208"/>
        <v>14509191.156274069</v>
      </c>
      <c r="AD67" s="192">
        <f t="shared" si="208"/>
        <v>6110785.2859604331</v>
      </c>
      <c r="AE67" s="192">
        <f t="shared" si="208"/>
        <v>3879169.586969309</v>
      </c>
      <c r="AF67" s="192">
        <f t="shared" si="208"/>
        <v>2075280.0550364968</v>
      </c>
      <c r="AG67" s="192">
        <f t="shared" si="208"/>
        <v>2862751.0723777693</v>
      </c>
      <c r="AH67" s="192">
        <f t="shared" si="208"/>
        <v>2186636.062723333</v>
      </c>
      <c r="AI67" s="192">
        <f t="shared" si="208"/>
        <v>1046333.6199374467</v>
      </c>
      <c r="AJ67" s="192">
        <f t="shared" si="208"/>
        <v>811554.59370854252</v>
      </c>
      <c r="AK67" s="192">
        <f t="shared" si="208"/>
        <v>5840419.189549081</v>
      </c>
      <c r="AL67" s="192">
        <f t="shared" si="208"/>
        <v>-516429.08095584845</v>
      </c>
      <c r="AM67" s="192">
        <f t="shared" si="208"/>
        <v>-610873.49400509032</v>
      </c>
      <c r="AN67" s="192">
        <f t="shared" ref="AN67:AQ67" si="209">SUM(AN13,AN20,AN28,AN36,AN45,AN53,AN62)</f>
        <v>-2227780.3239375246</v>
      </c>
      <c r="AO67" s="192">
        <f t="shared" si="209"/>
        <v>-1703238.2589925646</v>
      </c>
      <c r="AP67" s="192">
        <f t="shared" si="209"/>
        <v>-1933591.8253114</v>
      </c>
      <c r="AQ67" s="192">
        <f t="shared" si="209"/>
        <v>-1387055.1027404179</v>
      </c>
    </row>
    <row r="68" spans="1:43" ht="14" thickBot="1">
      <c r="A68" s="326"/>
      <c r="B68" s="326" t="s">
        <v>207</v>
      </c>
      <c r="C68" s="322"/>
      <c r="D68" s="193">
        <f t="shared" ref="D68:AA68" si="210">SUM(D14,D21,D29,D37,D46,D54,D63)</f>
        <v>0</v>
      </c>
      <c r="E68" s="193">
        <f t="shared" si="210"/>
        <v>0</v>
      </c>
      <c r="F68" s="193">
        <f t="shared" si="210"/>
        <v>0</v>
      </c>
      <c r="G68" s="193">
        <f t="shared" si="210"/>
        <v>0</v>
      </c>
      <c r="H68" s="193">
        <f t="shared" si="210"/>
        <v>0</v>
      </c>
      <c r="I68" s="193">
        <f t="shared" si="210"/>
        <v>0</v>
      </c>
      <c r="J68" s="193">
        <f t="shared" si="210"/>
        <v>749737.8474552728</v>
      </c>
      <c r="K68" s="193">
        <f t="shared" si="210"/>
        <v>1954493.1273065959</v>
      </c>
      <c r="L68" s="193">
        <f t="shared" si="210"/>
        <v>2103473.1949466667</v>
      </c>
      <c r="M68" s="193">
        <f t="shared" si="210"/>
        <v>-876454.6719084481</v>
      </c>
      <c r="N68" s="193">
        <f t="shared" si="210"/>
        <v>96245.504342926535</v>
      </c>
      <c r="O68" s="193">
        <f t="shared" si="210"/>
        <v>-5161465.3767827461</v>
      </c>
      <c r="P68" s="193">
        <f t="shared" si="210"/>
        <v>-4510284.2857031589</v>
      </c>
      <c r="Q68" s="193">
        <f t="shared" si="210"/>
        <v>-6349645.2750357641</v>
      </c>
      <c r="R68" s="193">
        <f t="shared" si="210"/>
        <v>-3621199.2183005572</v>
      </c>
      <c r="S68" s="193">
        <f t="shared" si="210"/>
        <v>-395291.43456347223</v>
      </c>
      <c r="T68" s="193">
        <f t="shared" si="210"/>
        <v>2869591.5524839256</v>
      </c>
      <c r="U68" s="193">
        <f t="shared" si="210"/>
        <v>4813398.973706156</v>
      </c>
      <c r="V68" s="193">
        <f t="shared" si="210"/>
        <v>6306059.5743678417</v>
      </c>
      <c r="W68" s="193">
        <f t="shared" si="210"/>
        <v>7486315.7211054889</v>
      </c>
      <c r="X68" s="193">
        <f t="shared" si="210"/>
        <v>10067645.199304987</v>
      </c>
      <c r="Y68" s="193">
        <f t="shared" si="210"/>
        <v>17348374.999355018</v>
      </c>
      <c r="Z68" s="193">
        <f t="shared" si="210"/>
        <v>19136236.663349822</v>
      </c>
      <c r="AA68" s="193">
        <f t="shared" si="210"/>
        <v>26333596.7102913</v>
      </c>
      <c r="AB68" s="193">
        <f t="shared" ref="AB68:AM68" si="211">SUM(AB14,AB21,AB29,AB37,AB46,AB54,AB63)</f>
        <v>35190730.370070435</v>
      </c>
      <c r="AC68" s="193">
        <f t="shared" si="211"/>
        <v>49699921.526344493</v>
      </c>
      <c r="AD68" s="193">
        <f t="shared" si="211"/>
        <v>55810706.812304921</v>
      </c>
      <c r="AE68" s="193">
        <f t="shared" si="211"/>
        <v>59689876.399274237</v>
      </c>
      <c r="AF68" s="193">
        <f t="shared" si="211"/>
        <v>61765156.45431073</v>
      </c>
      <c r="AG68" s="193">
        <f t="shared" si="211"/>
        <v>64627907.526688494</v>
      </c>
      <c r="AH68" s="193">
        <f t="shared" si="211"/>
        <v>66814543.589411832</v>
      </c>
      <c r="AI68" s="193">
        <f t="shared" si="211"/>
        <v>67860877.209349275</v>
      </c>
      <c r="AJ68" s="193">
        <f t="shared" si="211"/>
        <v>68672431.803057835</v>
      </c>
      <c r="AK68" s="193">
        <f t="shared" si="211"/>
        <v>74512850.992606893</v>
      </c>
      <c r="AL68" s="193">
        <f t="shared" si="211"/>
        <v>73996421.911651045</v>
      </c>
      <c r="AM68" s="193">
        <f t="shared" si="211"/>
        <v>73385548.417645961</v>
      </c>
      <c r="AN68" s="193">
        <f t="shared" ref="AN68:AQ68" si="212">SUM(AN14,AN21,AN29,AN37,AN46,AN54,AN63)</f>
        <v>71157768.093708426</v>
      </c>
      <c r="AO68" s="193">
        <f t="shared" si="212"/>
        <v>69454529.834715858</v>
      </c>
      <c r="AP68" s="193">
        <f t="shared" si="212"/>
        <v>67520938.009404466</v>
      </c>
      <c r="AQ68" s="193">
        <f t="shared" si="212"/>
        <v>66133882.906664051</v>
      </c>
    </row>
    <row r="69" spans="1:43" ht="18" customHeight="1" thickTop="1">
      <c r="A69" s="326" t="s">
        <v>227</v>
      </c>
      <c r="B69" s="326"/>
      <c r="C69" s="322"/>
      <c r="D69" s="194">
        <f t="shared" ref="D69:AA69" si="213">SUM(D14,D21,D29)</f>
        <v>0</v>
      </c>
      <c r="E69" s="194">
        <f t="shared" si="213"/>
        <v>0</v>
      </c>
      <c r="F69" s="194">
        <f t="shared" si="213"/>
        <v>0</v>
      </c>
      <c r="G69" s="194">
        <f t="shared" si="213"/>
        <v>0</v>
      </c>
      <c r="H69" s="194">
        <f t="shared" si="213"/>
        <v>0</v>
      </c>
      <c r="I69" s="194">
        <f t="shared" si="213"/>
        <v>0</v>
      </c>
      <c r="J69" s="194">
        <f t="shared" si="213"/>
        <v>0</v>
      </c>
      <c r="K69" s="194">
        <f t="shared" si="213"/>
        <v>0</v>
      </c>
      <c r="L69" s="194">
        <f t="shared" si="213"/>
        <v>0</v>
      </c>
      <c r="M69" s="194">
        <f t="shared" si="213"/>
        <v>0</v>
      </c>
      <c r="N69" s="194">
        <f t="shared" si="213"/>
        <v>0</v>
      </c>
      <c r="O69" s="194">
        <f t="shared" si="213"/>
        <v>0</v>
      </c>
      <c r="P69" s="194">
        <f t="shared" si="213"/>
        <v>42523.140904505744</v>
      </c>
      <c r="Q69" s="194">
        <f t="shared" si="213"/>
        <v>42523.140904505744</v>
      </c>
      <c r="R69" s="194">
        <f t="shared" si="213"/>
        <v>42523.140904505744</v>
      </c>
      <c r="S69" s="194">
        <f t="shared" si="213"/>
        <v>42523.140904505744</v>
      </c>
      <c r="T69" s="194">
        <f t="shared" si="213"/>
        <v>-4945493.4928815486</v>
      </c>
      <c r="U69" s="194">
        <f t="shared" si="213"/>
        <v>-4798917.3198963907</v>
      </c>
      <c r="V69" s="194">
        <f t="shared" si="213"/>
        <v>-4691620.1882948214</v>
      </c>
      <c r="W69" s="194">
        <f t="shared" si="213"/>
        <v>-4593382.8391347164</v>
      </c>
      <c r="X69" s="194">
        <f t="shared" si="213"/>
        <v>-4470170.3438053299</v>
      </c>
      <c r="Y69" s="194">
        <f t="shared" si="213"/>
        <v>-4237064.4923996059</v>
      </c>
      <c r="Z69" s="194">
        <f t="shared" si="213"/>
        <v>-3636421.7451504311</v>
      </c>
      <c r="AA69" s="194">
        <f t="shared" si="213"/>
        <v>-2953792.3363406099</v>
      </c>
      <c r="AB69" s="194">
        <f t="shared" ref="AB69:AM69" si="214">SUM(AB14,AB21,AB29)</f>
        <v>-2300843.2886064583</v>
      </c>
      <c r="AC69" s="194">
        <f t="shared" si="214"/>
        <v>-1818180.3087968838</v>
      </c>
      <c r="AD69" s="194">
        <f t="shared" si="214"/>
        <v>-1366712.4699971201</v>
      </c>
      <c r="AE69" s="194">
        <f t="shared" si="214"/>
        <v>-988346.97802894819</v>
      </c>
      <c r="AF69" s="194">
        <f t="shared" si="214"/>
        <v>16265343.047508944</v>
      </c>
      <c r="AG69" s="194">
        <f t="shared" si="214"/>
        <v>15819082.27101879</v>
      </c>
      <c r="AH69" s="194">
        <f t="shared" si="214"/>
        <v>15428452.1600498</v>
      </c>
      <c r="AI69" s="194">
        <f t="shared" si="214"/>
        <v>15012901.877903635</v>
      </c>
      <c r="AJ69" s="194">
        <f t="shared" si="214"/>
        <v>14458309.516399225</v>
      </c>
      <c r="AK69" s="194">
        <f t="shared" si="214"/>
        <v>13627774.907090738</v>
      </c>
      <c r="AL69" s="194">
        <f t="shared" si="214"/>
        <v>11761269.51739054</v>
      </c>
      <c r="AM69" s="194">
        <f t="shared" si="214"/>
        <v>9420138.8052283637</v>
      </c>
      <c r="AN69" s="194">
        <f t="shared" ref="AN69:AQ69" si="215">SUM(AN14,AN21,AN29)</f>
        <v>7192358.4812908377</v>
      </c>
      <c r="AO69" s="194">
        <f t="shared" si="215"/>
        <v>5489120.2222982738</v>
      </c>
      <c r="AP69" s="194">
        <f t="shared" si="215"/>
        <v>3555528.3969868738</v>
      </c>
      <c r="AQ69" s="194">
        <f t="shared" si="215"/>
        <v>2168473.2942464557</v>
      </c>
    </row>
    <row r="70" spans="1:43" ht="14" thickBot="1">
      <c r="A70" s="326" t="s">
        <v>228</v>
      </c>
      <c r="B70" s="326"/>
      <c r="C70" s="322"/>
      <c r="D70" s="195">
        <f>D68-D69</f>
        <v>0</v>
      </c>
      <c r="E70" s="195">
        <f t="shared" ref="E70:AA70" si="216">E68-E69</f>
        <v>0</v>
      </c>
      <c r="F70" s="195">
        <f t="shared" si="216"/>
        <v>0</v>
      </c>
      <c r="G70" s="195">
        <f t="shared" si="216"/>
        <v>0</v>
      </c>
      <c r="H70" s="195">
        <f t="shared" si="216"/>
        <v>0</v>
      </c>
      <c r="I70" s="195">
        <f t="shared" si="216"/>
        <v>0</v>
      </c>
      <c r="J70" s="195">
        <f t="shared" si="216"/>
        <v>749737.8474552728</v>
      </c>
      <c r="K70" s="195">
        <f t="shared" si="216"/>
        <v>1954493.1273065959</v>
      </c>
      <c r="L70" s="195">
        <f t="shared" si="216"/>
        <v>2103473.1949466667</v>
      </c>
      <c r="M70" s="195">
        <f t="shared" si="216"/>
        <v>-876454.6719084481</v>
      </c>
      <c r="N70" s="195">
        <f t="shared" si="216"/>
        <v>96245.504342926535</v>
      </c>
      <c r="O70" s="195">
        <f t="shared" si="216"/>
        <v>-5161465.3767827461</v>
      </c>
      <c r="P70" s="195">
        <f t="shared" si="216"/>
        <v>-4552807.4266076647</v>
      </c>
      <c r="Q70" s="195">
        <f t="shared" si="216"/>
        <v>-6392168.4159402698</v>
      </c>
      <c r="R70" s="195">
        <f t="shared" si="216"/>
        <v>-3663722.359205063</v>
      </c>
      <c r="S70" s="195">
        <f t="shared" si="216"/>
        <v>-437814.57546797796</v>
      </c>
      <c r="T70" s="195">
        <f t="shared" si="216"/>
        <v>7815085.0453654742</v>
      </c>
      <c r="U70" s="195">
        <f t="shared" si="216"/>
        <v>9612316.2936025467</v>
      </c>
      <c r="V70" s="195">
        <f t="shared" si="216"/>
        <v>10997679.762662664</v>
      </c>
      <c r="W70" s="195">
        <f t="shared" si="216"/>
        <v>12079698.560240205</v>
      </c>
      <c r="X70" s="195">
        <f t="shared" si="216"/>
        <v>14537815.543110317</v>
      </c>
      <c r="Y70" s="195">
        <f t="shared" si="216"/>
        <v>21585439.491754625</v>
      </c>
      <c r="Z70" s="195">
        <f t="shared" si="216"/>
        <v>22772658.408500254</v>
      </c>
      <c r="AA70" s="195">
        <f t="shared" si="216"/>
        <v>29287389.04663191</v>
      </c>
      <c r="AB70" s="195">
        <f t="shared" ref="AB70:AM70" si="217">AB68-AB69</f>
        <v>37491573.658676893</v>
      </c>
      <c r="AC70" s="195">
        <f t="shared" si="217"/>
        <v>51518101.835141376</v>
      </c>
      <c r="AD70" s="195">
        <f t="shared" si="217"/>
        <v>57177419.282302044</v>
      </c>
      <c r="AE70" s="195">
        <f t="shared" si="217"/>
        <v>60678223.377303183</v>
      </c>
      <c r="AF70" s="195">
        <f t="shared" si="217"/>
        <v>45499813.40680179</v>
      </c>
      <c r="AG70" s="195">
        <f t="shared" si="217"/>
        <v>48808825.255669706</v>
      </c>
      <c r="AH70" s="195">
        <f t="shared" si="217"/>
        <v>51386091.429362029</v>
      </c>
      <c r="AI70" s="195">
        <f t="shared" si="217"/>
        <v>52847975.331445642</v>
      </c>
      <c r="AJ70" s="195">
        <f t="shared" si="217"/>
        <v>54214122.286658607</v>
      </c>
      <c r="AK70" s="195">
        <f t="shared" si="217"/>
        <v>60885076.085516155</v>
      </c>
      <c r="AL70" s="195">
        <f t="shared" si="217"/>
        <v>62235152.394260503</v>
      </c>
      <c r="AM70" s="195">
        <f t="shared" si="217"/>
        <v>63965409.612417594</v>
      </c>
      <c r="AN70" s="195">
        <f t="shared" ref="AN70:AQ70" si="218">AN68-AN69</f>
        <v>63965409.612417586</v>
      </c>
      <c r="AO70" s="195">
        <f t="shared" si="218"/>
        <v>63965409.612417586</v>
      </c>
      <c r="AP70" s="195">
        <f t="shared" si="218"/>
        <v>63965409.612417594</v>
      </c>
      <c r="AQ70" s="195">
        <f t="shared" si="218"/>
        <v>63965409.612417594</v>
      </c>
    </row>
    <row r="71" spans="1:43" ht="14" thickTop="1">
      <c r="A71" s="326"/>
      <c r="B71" s="326"/>
      <c r="C71" s="322"/>
      <c r="D71" s="322"/>
      <c r="E71" s="326"/>
      <c r="G71" s="326"/>
      <c r="H71" s="326"/>
      <c r="I71" s="326"/>
      <c r="J71" s="326"/>
      <c r="K71" s="326"/>
      <c r="L71" s="326"/>
      <c r="M71" s="326"/>
      <c r="N71" s="326"/>
      <c r="O71" s="326"/>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row>
    <row r="72" spans="1:43">
      <c r="A72" s="326"/>
      <c r="B72" s="326"/>
      <c r="C72" s="322"/>
      <c r="D72" s="194"/>
      <c r="E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row>
    <row r="100" spans="1:10" s="169" customFormat="1">
      <c r="A100" s="326"/>
      <c r="B100" s="196"/>
      <c r="C100" s="322"/>
      <c r="D100" s="322"/>
      <c r="E100" s="326"/>
      <c r="F100" s="182"/>
      <c r="G100" s="326"/>
      <c r="H100" s="326"/>
      <c r="I100" s="326"/>
      <c r="J100" s="326"/>
    </row>
    <row r="101" spans="1:10" s="169" customFormat="1">
      <c r="A101" s="326"/>
      <c r="B101" s="197"/>
      <c r="C101" s="322"/>
      <c r="D101" s="322"/>
      <c r="E101" s="326"/>
      <c r="F101" s="182"/>
      <c r="G101" s="326"/>
      <c r="H101" s="326"/>
      <c r="I101" s="326"/>
      <c r="J101" s="326"/>
    </row>
    <row r="102" spans="1:10" s="169" customFormat="1">
      <c r="A102" s="326"/>
      <c r="B102" s="197"/>
      <c r="C102" s="322"/>
      <c r="D102" s="322"/>
      <c r="E102" s="326"/>
      <c r="F102" s="182"/>
      <c r="G102" s="326"/>
      <c r="H102" s="326"/>
      <c r="I102" s="326"/>
      <c r="J102" s="326"/>
    </row>
  </sheetData>
  <pageMargins left="0.7" right="0.7" top="0.75" bottom="0.75" header="0.3" footer="0.3"/>
  <pageSetup scale="52" fitToWidth="4"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colBreaks count="2" manualBreakCount="2">
    <brk id="15" max="1048575" man="1"/>
    <brk id="21"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E26"/>
  <sheetViews>
    <sheetView zoomScale="75" workbookViewId="0">
      <selection activeCell="I68" sqref="I68"/>
    </sheetView>
  </sheetViews>
  <sheetFormatPr baseColWidth="10" defaultColWidth="9.1640625" defaultRowHeight="13"/>
  <cols>
    <col min="1" max="1" width="6.83203125" style="316" customWidth="1"/>
    <col min="2" max="2" width="3.5" style="316" customWidth="1"/>
    <col min="3" max="3" width="53.1640625" style="316" bestFit="1" customWidth="1"/>
    <col min="4" max="5" width="15" style="316" customWidth="1"/>
    <col min="6" max="16384" width="9.1640625" style="316"/>
  </cols>
  <sheetData>
    <row r="1" spans="1:5">
      <c r="A1" s="624" t="s">
        <v>22</v>
      </c>
      <c r="B1" s="624"/>
      <c r="C1" s="624"/>
      <c r="D1" s="624"/>
      <c r="E1" s="624"/>
    </row>
    <row r="2" spans="1:5">
      <c r="A2" s="616" t="str">
        <f>'Rate Change Calc'!A2:E2</f>
        <v>2016 Gas Decoupling Filing</v>
      </c>
      <c r="B2" s="616"/>
      <c r="C2" s="616"/>
      <c r="D2" s="616"/>
      <c r="E2" s="616"/>
    </row>
    <row r="3" spans="1:5">
      <c r="A3" s="624" t="s">
        <v>229</v>
      </c>
      <c r="B3" s="624"/>
      <c r="C3" s="624"/>
      <c r="D3" s="624"/>
      <c r="E3" s="624"/>
    </row>
    <row r="4" spans="1:5">
      <c r="A4" s="616" t="str">
        <f>'Rate Change Calc'!A4:E4</f>
        <v>Proposed Effective May 1, 2016</v>
      </c>
      <c r="B4" s="616"/>
      <c r="C4" s="616"/>
      <c r="D4" s="616"/>
      <c r="E4" s="616"/>
    </row>
    <row r="5" spans="1:5">
      <c r="A5" s="392"/>
      <c r="B5" s="392"/>
      <c r="C5" s="392"/>
      <c r="D5" s="392"/>
      <c r="E5" s="392"/>
    </row>
    <row r="6" spans="1:5">
      <c r="A6" s="315"/>
      <c r="B6" s="315"/>
      <c r="C6" s="315"/>
      <c r="D6" s="392" t="s">
        <v>199</v>
      </c>
      <c r="E6" s="392" t="s">
        <v>199</v>
      </c>
    </row>
    <row r="7" spans="1:5" ht="25.5" customHeight="1">
      <c r="A7" s="450" t="s">
        <v>26</v>
      </c>
      <c r="B7" s="450"/>
      <c r="C7" s="435"/>
      <c r="D7" s="451">
        <v>42430</v>
      </c>
      <c r="E7" s="451">
        <f t="shared" ref="E7" si="0">EDATE(D7,1)</f>
        <v>42461</v>
      </c>
    </row>
    <row r="8" spans="1:5">
      <c r="A8" s="598">
        <v>1</v>
      </c>
      <c r="B8" s="456" t="s">
        <v>201</v>
      </c>
    </row>
    <row r="9" spans="1:5">
      <c r="A9" s="598">
        <f>A8+1</f>
        <v>2</v>
      </c>
      <c r="B9" s="598"/>
      <c r="C9" s="316" t="s">
        <v>230</v>
      </c>
      <c r="D9" s="453">
        <f>'F2015 Forecast'!B22</f>
        <v>70641934.840000004</v>
      </c>
      <c r="E9" s="453">
        <f>'F2015 Forecast'!C22</f>
        <v>49477573.840000004</v>
      </c>
    </row>
    <row r="10" spans="1:5">
      <c r="A10" s="598">
        <f t="shared" ref="A10:A26" si="1">A9+1</f>
        <v>3</v>
      </c>
      <c r="B10" s="598"/>
      <c r="C10" s="315" t="s">
        <v>231</v>
      </c>
      <c r="D10" s="454">
        <v>1.9730000000000001E-2</v>
      </c>
      <c r="E10" s="454">
        <v>1.9730000000000001E-2</v>
      </c>
    </row>
    <row r="11" spans="1:5">
      <c r="A11" s="598">
        <f t="shared" si="1"/>
        <v>4</v>
      </c>
      <c r="B11" s="598"/>
      <c r="C11" s="315" t="s">
        <v>232</v>
      </c>
      <c r="D11" s="455">
        <f>D9*D10</f>
        <v>1393765.3743932</v>
      </c>
      <c r="E11" s="455">
        <f>E9*E10</f>
        <v>976192.53186320013</v>
      </c>
    </row>
    <row r="12" spans="1:5">
      <c r="A12" s="598">
        <f t="shared" si="1"/>
        <v>5</v>
      </c>
      <c r="B12" s="598"/>
      <c r="C12" s="315"/>
    </row>
    <row r="13" spans="1:5">
      <c r="A13" s="598">
        <f t="shared" si="1"/>
        <v>6</v>
      </c>
      <c r="B13" s="598"/>
      <c r="C13" s="315" t="s">
        <v>233</v>
      </c>
      <c r="D13" s="356">
        <f>'Gas ERF UG-130138 Conv Fctr'!$E$19</f>
        <v>0.95589999999999997</v>
      </c>
      <c r="E13" s="356">
        <f>'Gas ERF UG-130138 Conv Fctr'!$E$19</f>
        <v>0.95589999999999997</v>
      </c>
    </row>
    <row r="14" spans="1:5">
      <c r="A14" s="598">
        <f t="shared" si="1"/>
        <v>7</v>
      </c>
      <c r="B14" s="598"/>
      <c r="C14" s="315"/>
    </row>
    <row r="15" spans="1:5">
      <c r="A15" s="598">
        <f t="shared" si="1"/>
        <v>8</v>
      </c>
      <c r="B15" s="598"/>
      <c r="C15" s="315" t="s">
        <v>234</v>
      </c>
      <c r="D15" s="455">
        <f>D11*D13</f>
        <v>1332300.32138246</v>
      </c>
      <c r="E15" s="455">
        <f>E11*E13</f>
        <v>933142.44120803301</v>
      </c>
    </row>
    <row r="16" spans="1:5">
      <c r="A16" s="598">
        <f t="shared" si="1"/>
        <v>9</v>
      </c>
      <c r="B16" s="598"/>
    </row>
    <row r="17" spans="1:5">
      <c r="A17" s="598">
        <f t="shared" si="1"/>
        <v>10</v>
      </c>
      <c r="B17" s="456" t="s">
        <v>208</v>
      </c>
    </row>
    <row r="18" spans="1:5">
      <c r="A18" s="598">
        <f t="shared" si="1"/>
        <v>11</v>
      </c>
      <c r="B18" s="598"/>
      <c r="C18" s="316" t="s">
        <v>230</v>
      </c>
      <c r="D18" s="453">
        <f>'F2015 Forecast'!B23</f>
        <v>36047668</v>
      </c>
      <c r="E18" s="453">
        <f>'F2015 Forecast'!C23</f>
        <v>27212247</v>
      </c>
    </row>
    <row r="19" spans="1:5">
      <c r="A19" s="598">
        <f t="shared" si="1"/>
        <v>12</v>
      </c>
      <c r="B19" s="598"/>
      <c r="C19" s="315" t="s">
        <v>235</v>
      </c>
      <c r="D19" s="454">
        <v>1.745E-2</v>
      </c>
      <c r="E19" s="454">
        <v>1.745E-2</v>
      </c>
    </row>
    <row r="20" spans="1:5">
      <c r="A20" s="598">
        <f t="shared" si="1"/>
        <v>13</v>
      </c>
      <c r="B20" s="598"/>
      <c r="C20" s="315" t="s">
        <v>232</v>
      </c>
      <c r="D20" s="455">
        <f>D18*D19</f>
        <v>629031.80660000001</v>
      </c>
      <c r="E20" s="455">
        <f>E18*E19</f>
        <v>474853.71015</v>
      </c>
    </row>
    <row r="21" spans="1:5">
      <c r="A21" s="598">
        <f t="shared" si="1"/>
        <v>14</v>
      </c>
      <c r="B21" s="598"/>
      <c r="C21" s="315"/>
    </row>
    <row r="22" spans="1:5">
      <c r="A22" s="598">
        <f t="shared" si="1"/>
        <v>15</v>
      </c>
      <c r="B22" s="598"/>
      <c r="C22" s="315" t="s">
        <v>233</v>
      </c>
      <c r="D22" s="356">
        <f>'Gas ERF UG-130138 Conv Fctr'!$E$19</f>
        <v>0.95589999999999997</v>
      </c>
      <c r="E22" s="356">
        <f>'Gas ERF UG-130138 Conv Fctr'!$E$19</f>
        <v>0.95589999999999997</v>
      </c>
    </row>
    <row r="23" spans="1:5">
      <c r="A23" s="598">
        <f t="shared" si="1"/>
        <v>16</v>
      </c>
      <c r="B23" s="598"/>
      <c r="C23" s="315"/>
    </row>
    <row r="24" spans="1:5">
      <c r="A24" s="598">
        <f t="shared" si="1"/>
        <v>17</v>
      </c>
      <c r="B24" s="598"/>
      <c r="C24" s="315" t="s">
        <v>234</v>
      </c>
      <c r="D24" s="455">
        <f>D20*D22</f>
        <v>601291.50392894004</v>
      </c>
      <c r="E24" s="455">
        <f>E20*E22</f>
        <v>453912.66153238498</v>
      </c>
    </row>
    <row r="25" spans="1:5">
      <c r="A25" s="598">
        <f t="shared" si="1"/>
        <v>18</v>
      </c>
    </row>
    <row r="26" spans="1:5">
      <c r="A26" s="598">
        <f t="shared" si="1"/>
        <v>19</v>
      </c>
      <c r="B26" s="316" t="s">
        <v>236</v>
      </c>
    </row>
  </sheetData>
  <mergeCells count="4">
    <mergeCell ref="A1:E1"/>
    <mergeCell ref="A2:E2"/>
    <mergeCell ref="A3:E3"/>
    <mergeCell ref="A4:E4"/>
  </mergeCells>
  <pageMargins left="0.7" right="0.7" top="0.75" bottom="0.75" header="0.3" footer="0.3"/>
  <pageSetup fitToHeight="0" orientation="landscape"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R62"/>
  <sheetViews>
    <sheetView zoomScale="64" workbookViewId="0">
      <selection activeCell="I68" sqref="I68"/>
    </sheetView>
  </sheetViews>
  <sheetFormatPr baseColWidth="10" defaultColWidth="8.83203125" defaultRowHeight="13"/>
  <cols>
    <col min="1" max="1" width="22.5" style="198" customWidth="1"/>
    <col min="2" max="3" width="13.1640625" style="322" customWidth="1"/>
    <col min="4" max="15" width="13.1640625" style="198" customWidth="1"/>
    <col min="16" max="16" width="14.33203125" style="198" customWidth="1"/>
    <col min="17" max="18" width="14" style="198" bestFit="1" customWidth="1"/>
    <col min="19" max="19" width="4.6640625" style="198" bestFit="1" customWidth="1"/>
    <col min="20" max="256" width="9.1640625" style="198"/>
    <col min="257" max="257" width="12.1640625" style="198" customWidth="1"/>
    <col min="258" max="258" width="14.6640625" style="198" bestFit="1" customWidth="1"/>
    <col min="259" max="259" width="12.6640625" style="198" bestFit="1" customWidth="1"/>
    <col min="260" max="260" width="13.6640625" style="198" bestFit="1" customWidth="1"/>
    <col min="261" max="261" width="12.6640625" style="198" bestFit="1" customWidth="1"/>
    <col min="262" max="262" width="12.33203125" style="198" bestFit="1" customWidth="1"/>
    <col min="263" max="263" width="12.6640625" style="198" bestFit="1" customWidth="1"/>
    <col min="264" max="265" width="12.5" style="198" bestFit="1" customWidth="1"/>
    <col min="266" max="266" width="13.6640625" style="198" bestFit="1" customWidth="1"/>
    <col min="267" max="271" width="13.6640625" style="198" customWidth="1"/>
    <col min="272" max="272" width="16" style="198" customWidth="1"/>
    <col min="273" max="274" width="14" style="198" bestFit="1" customWidth="1"/>
    <col min="275" max="275" width="4.6640625" style="198" bestFit="1" customWidth="1"/>
    <col min="276" max="512" width="9.1640625" style="198"/>
    <col min="513" max="513" width="12.1640625" style="198" customWidth="1"/>
    <col min="514" max="514" width="14.6640625" style="198" bestFit="1" customWidth="1"/>
    <col min="515" max="515" width="12.6640625" style="198" bestFit="1" customWidth="1"/>
    <col min="516" max="516" width="13.6640625" style="198" bestFit="1" customWidth="1"/>
    <col min="517" max="517" width="12.6640625" style="198" bestFit="1" customWidth="1"/>
    <col min="518" max="518" width="12.33203125" style="198" bestFit="1" customWidth="1"/>
    <col min="519" max="519" width="12.6640625" style="198" bestFit="1" customWidth="1"/>
    <col min="520" max="521" width="12.5" style="198" bestFit="1" customWidth="1"/>
    <col min="522" max="522" width="13.6640625" style="198" bestFit="1" customWidth="1"/>
    <col min="523" max="527" width="13.6640625" style="198" customWidth="1"/>
    <col min="528" max="528" width="16" style="198" customWidth="1"/>
    <col min="529" max="530" width="14" style="198" bestFit="1" customWidth="1"/>
    <col min="531" max="531" width="4.6640625" style="198" bestFit="1" customWidth="1"/>
    <col min="532" max="768" width="9.1640625" style="198"/>
    <col min="769" max="769" width="12.1640625" style="198" customWidth="1"/>
    <col min="770" max="770" width="14.6640625" style="198" bestFit="1" customWidth="1"/>
    <col min="771" max="771" width="12.6640625" style="198" bestFit="1" customWidth="1"/>
    <col min="772" max="772" width="13.6640625" style="198" bestFit="1" customWidth="1"/>
    <col min="773" max="773" width="12.6640625" style="198" bestFit="1" customWidth="1"/>
    <col min="774" max="774" width="12.33203125" style="198" bestFit="1" customWidth="1"/>
    <col min="775" max="775" width="12.6640625" style="198" bestFit="1" customWidth="1"/>
    <col min="776" max="777" width="12.5" style="198" bestFit="1" customWidth="1"/>
    <col min="778" max="778" width="13.6640625" style="198" bestFit="1" customWidth="1"/>
    <col min="779" max="783" width="13.6640625" style="198" customWidth="1"/>
    <col min="784" max="784" width="16" style="198" customWidth="1"/>
    <col min="785" max="786" width="14" style="198" bestFit="1" customWidth="1"/>
    <col min="787" max="787" width="4.6640625" style="198" bestFit="1" customWidth="1"/>
    <col min="788" max="1024" width="9.1640625" style="198"/>
    <col min="1025" max="1025" width="12.1640625" style="198" customWidth="1"/>
    <col min="1026" max="1026" width="14.6640625" style="198" bestFit="1" customWidth="1"/>
    <col min="1027" max="1027" width="12.6640625" style="198" bestFit="1" customWidth="1"/>
    <col min="1028" max="1028" width="13.6640625" style="198" bestFit="1" customWidth="1"/>
    <col min="1029" max="1029" width="12.6640625" style="198" bestFit="1" customWidth="1"/>
    <col min="1030" max="1030" width="12.33203125" style="198" bestFit="1" customWidth="1"/>
    <col min="1031" max="1031" width="12.6640625" style="198" bestFit="1" customWidth="1"/>
    <col min="1032" max="1033" width="12.5" style="198" bestFit="1" customWidth="1"/>
    <col min="1034" max="1034" width="13.6640625" style="198" bestFit="1" customWidth="1"/>
    <col min="1035" max="1039" width="13.6640625" style="198" customWidth="1"/>
    <col min="1040" max="1040" width="16" style="198" customWidth="1"/>
    <col min="1041" max="1042" width="14" style="198" bestFit="1" customWidth="1"/>
    <col min="1043" max="1043" width="4.6640625" style="198" bestFit="1" customWidth="1"/>
    <col min="1044" max="1280" width="9.1640625" style="198"/>
    <col min="1281" max="1281" width="12.1640625" style="198" customWidth="1"/>
    <col min="1282" max="1282" width="14.6640625" style="198" bestFit="1" customWidth="1"/>
    <col min="1283" max="1283" width="12.6640625" style="198" bestFit="1" customWidth="1"/>
    <col min="1284" max="1284" width="13.6640625" style="198" bestFit="1" customWidth="1"/>
    <col min="1285" max="1285" width="12.6640625" style="198" bestFit="1" customWidth="1"/>
    <col min="1286" max="1286" width="12.33203125" style="198" bestFit="1" customWidth="1"/>
    <col min="1287" max="1287" width="12.6640625" style="198" bestFit="1" customWidth="1"/>
    <col min="1288" max="1289" width="12.5" style="198" bestFit="1" customWidth="1"/>
    <col min="1290" max="1290" width="13.6640625" style="198" bestFit="1" customWidth="1"/>
    <col min="1291" max="1295" width="13.6640625" style="198" customWidth="1"/>
    <col min="1296" max="1296" width="16" style="198" customWidth="1"/>
    <col min="1297" max="1298" width="14" style="198" bestFit="1" customWidth="1"/>
    <col min="1299" max="1299" width="4.6640625" style="198" bestFit="1" customWidth="1"/>
    <col min="1300" max="1536" width="9.1640625" style="198"/>
    <col min="1537" max="1537" width="12.1640625" style="198" customWidth="1"/>
    <col min="1538" max="1538" width="14.6640625" style="198" bestFit="1" customWidth="1"/>
    <col min="1539" max="1539" width="12.6640625" style="198" bestFit="1" customWidth="1"/>
    <col min="1540" max="1540" width="13.6640625" style="198" bestFit="1" customWidth="1"/>
    <col min="1541" max="1541" width="12.6640625" style="198" bestFit="1" customWidth="1"/>
    <col min="1542" max="1542" width="12.33203125" style="198" bestFit="1" customWidth="1"/>
    <col min="1543" max="1543" width="12.6640625" style="198" bestFit="1" customWidth="1"/>
    <col min="1544" max="1545" width="12.5" style="198" bestFit="1" customWidth="1"/>
    <col min="1546" max="1546" width="13.6640625" style="198" bestFit="1" customWidth="1"/>
    <col min="1547" max="1551" width="13.6640625" style="198" customWidth="1"/>
    <col min="1552" max="1552" width="16" style="198" customWidth="1"/>
    <col min="1553" max="1554" width="14" style="198" bestFit="1" customWidth="1"/>
    <col min="1555" max="1555" width="4.6640625" style="198" bestFit="1" customWidth="1"/>
    <col min="1556" max="1792" width="9.1640625" style="198"/>
    <col min="1793" max="1793" width="12.1640625" style="198" customWidth="1"/>
    <col min="1794" max="1794" width="14.6640625" style="198" bestFit="1" customWidth="1"/>
    <col min="1795" max="1795" width="12.6640625" style="198" bestFit="1" customWidth="1"/>
    <col min="1796" max="1796" width="13.6640625" style="198" bestFit="1" customWidth="1"/>
    <col min="1797" max="1797" width="12.6640625" style="198" bestFit="1" customWidth="1"/>
    <col min="1798" max="1798" width="12.33203125" style="198" bestFit="1" customWidth="1"/>
    <col min="1799" max="1799" width="12.6640625" style="198" bestFit="1" customWidth="1"/>
    <col min="1800" max="1801" width="12.5" style="198" bestFit="1" customWidth="1"/>
    <col min="1802" max="1802" width="13.6640625" style="198" bestFit="1" customWidth="1"/>
    <col min="1803" max="1807" width="13.6640625" style="198" customWidth="1"/>
    <col min="1808" max="1808" width="16" style="198" customWidth="1"/>
    <col min="1809" max="1810" width="14" style="198" bestFit="1" customWidth="1"/>
    <col min="1811" max="1811" width="4.6640625" style="198" bestFit="1" customWidth="1"/>
    <col min="1812" max="2048" width="9.1640625" style="198"/>
    <col min="2049" max="2049" width="12.1640625" style="198" customWidth="1"/>
    <col min="2050" max="2050" width="14.6640625" style="198" bestFit="1" customWidth="1"/>
    <col min="2051" max="2051" width="12.6640625" style="198" bestFit="1" customWidth="1"/>
    <col min="2052" max="2052" width="13.6640625" style="198" bestFit="1" customWidth="1"/>
    <col min="2053" max="2053" width="12.6640625" style="198" bestFit="1" customWidth="1"/>
    <col min="2054" max="2054" width="12.33203125" style="198" bestFit="1" customWidth="1"/>
    <col min="2055" max="2055" width="12.6640625" style="198" bestFit="1" customWidth="1"/>
    <col min="2056" max="2057" width="12.5" style="198" bestFit="1" customWidth="1"/>
    <col min="2058" max="2058" width="13.6640625" style="198" bestFit="1" customWidth="1"/>
    <col min="2059" max="2063" width="13.6640625" style="198" customWidth="1"/>
    <col min="2064" max="2064" width="16" style="198" customWidth="1"/>
    <col min="2065" max="2066" width="14" style="198" bestFit="1" customWidth="1"/>
    <col min="2067" max="2067" width="4.6640625" style="198" bestFit="1" customWidth="1"/>
    <col min="2068" max="2304" width="9.1640625" style="198"/>
    <col min="2305" max="2305" width="12.1640625" style="198" customWidth="1"/>
    <col min="2306" max="2306" width="14.6640625" style="198" bestFit="1" customWidth="1"/>
    <col min="2307" max="2307" width="12.6640625" style="198" bestFit="1" customWidth="1"/>
    <col min="2308" max="2308" width="13.6640625" style="198" bestFit="1" customWidth="1"/>
    <col min="2309" max="2309" width="12.6640625" style="198" bestFit="1" customWidth="1"/>
    <col min="2310" max="2310" width="12.33203125" style="198" bestFit="1" customWidth="1"/>
    <col min="2311" max="2311" width="12.6640625" style="198" bestFit="1" customWidth="1"/>
    <col min="2312" max="2313" width="12.5" style="198" bestFit="1" customWidth="1"/>
    <col min="2314" max="2314" width="13.6640625" style="198" bestFit="1" customWidth="1"/>
    <col min="2315" max="2319" width="13.6640625" style="198" customWidth="1"/>
    <col min="2320" max="2320" width="16" style="198" customWidth="1"/>
    <col min="2321" max="2322" width="14" style="198" bestFit="1" customWidth="1"/>
    <col min="2323" max="2323" width="4.6640625" style="198" bestFit="1" customWidth="1"/>
    <col min="2324" max="2560" width="9.1640625" style="198"/>
    <col min="2561" max="2561" width="12.1640625" style="198" customWidth="1"/>
    <col min="2562" max="2562" width="14.6640625" style="198" bestFit="1" customWidth="1"/>
    <col min="2563" max="2563" width="12.6640625" style="198" bestFit="1" customWidth="1"/>
    <col min="2564" max="2564" width="13.6640625" style="198" bestFit="1" customWidth="1"/>
    <col min="2565" max="2565" width="12.6640625" style="198" bestFit="1" customWidth="1"/>
    <col min="2566" max="2566" width="12.33203125" style="198" bestFit="1" customWidth="1"/>
    <col min="2567" max="2567" width="12.6640625" style="198" bestFit="1" customWidth="1"/>
    <col min="2568" max="2569" width="12.5" style="198" bestFit="1" customWidth="1"/>
    <col min="2570" max="2570" width="13.6640625" style="198" bestFit="1" customWidth="1"/>
    <col min="2571" max="2575" width="13.6640625" style="198" customWidth="1"/>
    <col min="2576" max="2576" width="16" style="198" customWidth="1"/>
    <col min="2577" max="2578" width="14" style="198" bestFit="1" customWidth="1"/>
    <col min="2579" max="2579" width="4.6640625" style="198" bestFit="1" customWidth="1"/>
    <col min="2580" max="2816" width="9.1640625" style="198"/>
    <col min="2817" max="2817" width="12.1640625" style="198" customWidth="1"/>
    <col min="2818" max="2818" width="14.6640625" style="198" bestFit="1" customWidth="1"/>
    <col min="2819" max="2819" width="12.6640625" style="198" bestFit="1" customWidth="1"/>
    <col min="2820" max="2820" width="13.6640625" style="198" bestFit="1" customWidth="1"/>
    <col min="2821" max="2821" width="12.6640625" style="198" bestFit="1" customWidth="1"/>
    <col min="2822" max="2822" width="12.33203125" style="198" bestFit="1" customWidth="1"/>
    <col min="2823" max="2823" width="12.6640625" style="198" bestFit="1" customWidth="1"/>
    <col min="2824" max="2825" width="12.5" style="198" bestFit="1" customWidth="1"/>
    <col min="2826" max="2826" width="13.6640625" style="198" bestFit="1" customWidth="1"/>
    <col min="2827" max="2831" width="13.6640625" style="198" customWidth="1"/>
    <col min="2832" max="2832" width="16" style="198" customWidth="1"/>
    <col min="2833" max="2834" width="14" style="198" bestFit="1" customWidth="1"/>
    <col min="2835" max="2835" width="4.6640625" style="198" bestFit="1" customWidth="1"/>
    <col min="2836" max="3072" width="9.1640625" style="198"/>
    <col min="3073" max="3073" width="12.1640625" style="198" customWidth="1"/>
    <col min="3074" max="3074" width="14.6640625" style="198" bestFit="1" customWidth="1"/>
    <col min="3075" max="3075" width="12.6640625" style="198" bestFit="1" customWidth="1"/>
    <col min="3076" max="3076" width="13.6640625" style="198" bestFit="1" customWidth="1"/>
    <col min="3077" max="3077" width="12.6640625" style="198" bestFit="1" customWidth="1"/>
    <col min="3078" max="3078" width="12.33203125" style="198" bestFit="1" customWidth="1"/>
    <col min="3079" max="3079" width="12.6640625" style="198" bestFit="1" customWidth="1"/>
    <col min="3080" max="3081" width="12.5" style="198" bestFit="1" customWidth="1"/>
    <col min="3082" max="3082" width="13.6640625" style="198" bestFit="1" customWidth="1"/>
    <col min="3083" max="3087" width="13.6640625" style="198" customWidth="1"/>
    <col min="3088" max="3088" width="16" style="198" customWidth="1"/>
    <col min="3089" max="3090" width="14" style="198" bestFit="1" customWidth="1"/>
    <col min="3091" max="3091" width="4.6640625" style="198" bestFit="1" customWidth="1"/>
    <col min="3092" max="3328" width="9.1640625" style="198"/>
    <col min="3329" max="3329" width="12.1640625" style="198" customWidth="1"/>
    <col min="3330" max="3330" width="14.6640625" style="198" bestFit="1" customWidth="1"/>
    <col min="3331" max="3331" width="12.6640625" style="198" bestFit="1" customWidth="1"/>
    <col min="3332" max="3332" width="13.6640625" style="198" bestFit="1" customWidth="1"/>
    <col min="3333" max="3333" width="12.6640625" style="198" bestFit="1" customWidth="1"/>
    <col min="3334" max="3334" width="12.33203125" style="198" bestFit="1" customWidth="1"/>
    <col min="3335" max="3335" width="12.6640625" style="198" bestFit="1" customWidth="1"/>
    <col min="3336" max="3337" width="12.5" style="198" bestFit="1" customWidth="1"/>
    <col min="3338" max="3338" width="13.6640625" style="198" bestFit="1" customWidth="1"/>
    <col min="3339" max="3343" width="13.6640625" style="198" customWidth="1"/>
    <col min="3344" max="3344" width="16" style="198" customWidth="1"/>
    <col min="3345" max="3346" width="14" style="198" bestFit="1" customWidth="1"/>
    <col min="3347" max="3347" width="4.6640625" style="198" bestFit="1" customWidth="1"/>
    <col min="3348" max="3584" width="9.1640625" style="198"/>
    <col min="3585" max="3585" width="12.1640625" style="198" customWidth="1"/>
    <col min="3586" max="3586" width="14.6640625" style="198" bestFit="1" customWidth="1"/>
    <col min="3587" max="3587" width="12.6640625" style="198" bestFit="1" customWidth="1"/>
    <col min="3588" max="3588" width="13.6640625" style="198" bestFit="1" customWidth="1"/>
    <col min="3589" max="3589" width="12.6640625" style="198" bestFit="1" customWidth="1"/>
    <col min="3590" max="3590" width="12.33203125" style="198" bestFit="1" customWidth="1"/>
    <col min="3591" max="3591" width="12.6640625" style="198" bestFit="1" customWidth="1"/>
    <col min="3592" max="3593" width="12.5" style="198" bestFit="1" customWidth="1"/>
    <col min="3594" max="3594" width="13.6640625" style="198" bestFit="1" customWidth="1"/>
    <col min="3595" max="3599" width="13.6640625" style="198" customWidth="1"/>
    <col min="3600" max="3600" width="16" style="198" customWidth="1"/>
    <col min="3601" max="3602" width="14" style="198" bestFit="1" customWidth="1"/>
    <col min="3603" max="3603" width="4.6640625" style="198" bestFit="1" customWidth="1"/>
    <col min="3604" max="3840" width="9.1640625" style="198"/>
    <col min="3841" max="3841" width="12.1640625" style="198" customWidth="1"/>
    <col min="3842" max="3842" width="14.6640625" style="198" bestFit="1" customWidth="1"/>
    <col min="3843" max="3843" width="12.6640625" style="198" bestFit="1" customWidth="1"/>
    <col min="3844" max="3844" width="13.6640625" style="198" bestFit="1" customWidth="1"/>
    <col min="3845" max="3845" width="12.6640625" style="198" bestFit="1" customWidth="1"/>
    <col min="3846" max="3846" width="12.33203125" style="198" bestFit="1" customWidth="1"/>
    <col min="3847" max="3847" width="12.6640625" style="198" bestFit="1" customWidth="1"/>
    <col min="3848" max="3849" width="12.5" style="198" bestFit="1" customWidth="1"/>
    <col min="3850" max="3850" width="13.6640625" style="198" bestFit="1" customWidth="1"/>
    <col min="3851" max="3855" width="13.6640625" style="198" customWidth="1"/>
    <col min="3856" max="3856" width="16" style="198" customWidth="1"/>
    <col min="3857" max="3858" width="14" style="198" bestFit="1" customWidth="1"/>
    <col min="3859" max="3859" width="4.6640625" style="198" bestFit="1" customWidth="1"/>
    <col min="3860" max="4096" width="9.1640625" style="198"/>
    <col min="4097" max="4097" width="12.1640625" style="198" customWidth="1"/>
    <col min="4098" max="4098" width="14.6640625" style="198" bestFit="1" customWidth="1"/>
    <col min="4099" max="4099" width="12.6640625" style="198" bestFit="1" customWidth="1"/>
    <col min="4100" max="4100" width="13.6640625" style="198" bestFit="1" customWidth="1"/>
    <col min="4101" max="4101" width="12.6640625" style="198" bestFit="1" customWidth="1"/>
    <col min="4102" max="4102" width="12.33203125" style="198" bestFit="1" customWidth="1"/>
    <col min="4103" max="4103" width="12.6640625" style="198" bestFit="1" customWidth="1"/>
    <col min="4104" max="4105" width="12.5" style="198" bestFit="1" customWidth="1"/>
    <col min="4106" max="4106" width="13.6640625" style="198" bestFit="1" customWidth="1"/>
    <col min="4107" max="4111" width="13.6640625" style="198" customWidth="1"/>
    <col min="4112" max="4112" width="16" style="198" customWidth="1"/>
    <col min="4113" max="4114" width="14" style="198" bestFit="1" customWidth="1"/>
    <col min="4115" max="4115" width="4.6640625" style="198" bestFit="1" customWidth="1"/>
    <col min="4116" max="4352" width="9.1640625" style="198"/>
    <col min="4353" max="4353" width="12.1640625" style="198" customWidth="1"/>
    <col min="4354" max="4354" width="14.6640625" style="198" bestFit="1" customWidth="1"/>
    <col min="4355" max="4355" width="12.6640625" style="198" bestFit="1" customWidth="1"/>
    <col min="4356" max="4356" width="13.6640625" style="198" bestFit="1" customWidth="1"/>
    <col min="4357" max="4357" width="12.6640625" style="198" bestFit="1" customWidth="1"/>
    <col min="4358" max="4358" width="12.33203125" style="198" bestFit="1" customWidth="1"/>
    <col min="4359" max="4359" width="12.6640625" style="198" bestFit="1" customWidth="1"/>
    <col min="4360" max="4361" width="12.5" style="198" bestFit="1" customWidth="1"/>
    <col min="4362" max="4362" width="13.6640625" style="198" bestFit="1" customWidth="1"/>
    <col min="4363" max="4367" width="13.6640625" style="198" customWidth="1"/>
    <col min="4368" max="4368" width="16" style="198" customWidth="1"/>
    <col min="4369" max="4370" width="14" style="198" bestFit="1" customWidth="1"/>
    <col min="4371" max="4371" width="4.6640625" style="198" bestFit="1" customWidth="1"/>
    <col min="4372" max="4608" width="9.1640625" style="198"/>
    <col min="4609" max="4609" width="12.1640625" style="198" customWidth="1"/>
    <col min="4610" max="4610" width="14.6640625" style="198" bestFit="1" customWidth="1"/>
    <col min="4611" max="4611" width="12.6640625" style="198" bestFit="1" customWidth="1"/>
    <col min="4612" max="4612" width="13.6640625" style="198" bestFit="1" customWidth="1"/>
    <col min="4613" max="4613" width="12.6640625" style="198" bestFit="1" customWidth="1"/>
    <col min="4614" max="4614" width="12.33203125" style="198" bestFit="1" customWidth="1"/>
    <col min="4615" max="4615" width="12.6640625" style="198" bestFit="1" customWidth="1"/>
    <col min="4616" max="4617" width="12.5" style="198" bestFit="1" customWidth="1"/>
    <col min="4618" max="4618" width="13.6640625" style="198" bestFit="1" customWidth="1"/>
    <col min="4619" max="4623" width="13.6640625" style="198" customWidth="1"/>
    <col min="4624" max="4624" width="16" style="198" customWidth="1"/>
    <col min="4625" max="4626" width="14" style="198" bestFit="1" customWidth="1"/>
    <col min="4627" max="4627" width="4.6640625" style="198" bestFit="1" customWidth="1"/>
    <col min="4628" max="4864" width="9.1640625" style="198"/>
    <col min="4865" max="4865" width="12.1640625" style="198" customWidth="1"/>
    <col min="4866" max="4866" width="14.6640625" style="198" bestFit="1" customWidth="1"/>
    <col min="4867" max="4867" width="12.6640625" style="198" bestFit="1" customWidth="1"/>
    <col min="4868" max="4868" width="13.6640625" style="198" bestFit="1" customWidth="1"/>
    <col min="4869" max="4869" width="12.6640625" style="198" bestFit="1" customWidth="1"/>
    <col min="4870" max="4870" width="12.33203125" style="198" bestFit="1" customWidth="1"/>
    <col min="4871" max="4871" width="12.6640625" style="198" bestFit="1" customWidth="1"/>
    <col min="4872" max="4873" width="12.5" style="198" bestFit="1" customWidth="1"/>
    <col min="4874" max="4874" width="13.6640625" style="198" bestFit="1" customWidth="1"/>
    <col min="4875" max="4879" width="13.6640625" style="198" customWidth="1"/>
    <col min="4880" max="4880" width="16" style="198" customWidth="1"/>
    <col min="4881" max="4882" width="14" style="198" bestFit="1" customWidth="1"/>
    <col min="4883" max="4883" width="4.6640625" style="198" bestFit="1" customWidth="1"/>
    <col min="4884" max="5120" width="9.1640625" style="198"/>
    <col min="5121" max="5121" width="12.1640625" style="198" customWidth="1"/>
    <col min="5122" max="5122" width="14.6640625" style="198" bestFit="1" customWidth="1"/>
    <col min="5123" max="5123" width="12.6640625" style="198" bestFit="1" customWidth="1"/>
    <col min="5124" max="5124" width="13.6640625" style="198" bestFit="1" customWidth="1"/>
    <col min="5125" max="5125" width="12.6640625" style="198" bestFit="1" customWidth="1"/>
    <col min="5126" max="5126" width="12.33203125" style="198" bestFit="1" customWidth="1"/>
    <col min="5127" max="5127" width="12.6640625" style="198" bestFit="1" customWidth="1"/>
    <col min="5128" max="5129" width="12.5" style="198" bestFit="1" customWidth="1"/>
    <col min="5130" max="5130" width="13.6640625" style="198" bestFit="1" customWidth="1"/>
    <col min="5131" max="5135" width="13.6640625" style="198" customWidth="1"/>
    <col min="5136" max="5136" width="16" style="198" customWidth="1"/>
    <col min="5137" max="5138" width="14" style="198" bestFit="1" customWidth="1"/>
    <col min="5139" max="5139" width="4.6640625" style="198" bestFit="1" customWidth="1"/>
    <col min="5140" max="5376" width="9.1640625" style="198"/>
    <col min="5377" max="5377" width="12.1640625" style="198" customWidth="1"/>
    <col min="5378" max="5378" width="14.6640625" style="198" bestFit="1" customWidth="1"/>
    <col min="5379" max="5379" width="12.6640625" style="198" bestFit="1" customWidth="1"/>
    <col min="5380" max="5380" width="13.6640625" style="198" bestFit="1" customWidth="1"/>
    <col min="5381" max="5381" width="12.6640625" style="198" bestFit="1" customWidth="1"/>
    <col min="5382" max="5382" width="12.33203125" style="198" bestFit="1" customWidth="1"/>
    <col min="5383" max="5383" width="12.6640625" style="198" bestFit="1" customWidth="1"/>
    <col min="5384" max="5385" width="12.5" style="198" bestFit="1" customWidth="1"/>
    <col min="5386" max="5386" width="13.6640625" style="198" bestFit="1" customWidth="1"/>
    <col min="5387" max="5391" width="13.6640625" style="198" customWidth="1"/>
    <col min="5392" max="5392" width="16" style="198" customWidth="1"/>
    <col min="5393" max="5394" width="14" style="198" bestFit="1" customWidth="1"/>
    <col min="5395" max="5395" width="4.6640625" style="198" bestFit="1" customWidth="1"/>
    <col min="5396" max="5632" width="9.1640625" style="198"/>
    <col min="5633" max="5633" width="12.1640625" style="198" customWidth="1"/>
    <col min="5634" max="5634" width="14.6640625" style="198" bestFit="1" customWidth="1"/>
    <col min="5635" max="5635" width="12.6640625" style="198" bestFit="1" customWidth="1"/>
    <col min="5636" max="5636" width="13.6640625" style="198" bestFit="1" customWidth="1"/>
    <col min="5637" max="5637" width="12.6640625" style="198" bestFit="1" customWidth="1"/>
    <col min="5638" max="5638" width="12.33203125" style="198" bestFit="1" customWidth="1"/>
    <col min="5639" max="5639" width="12.6640625" style="198" bestFit="1" customWidth="1"/>
    <col min="5640" max="5641" width="12.5" style="198" bestFit="1" customWidth="1"/>
    <col min="5642" max="5642" width="13.6640625" style="198" bestFit="1" customWidth="1"/>
    <col min="5643" max="5647" width="13.6640625" style="198" customWidth="1"/>
    <col min="5648" max="5648" width="16" style="198" customWidth="1"/>
    <col min="5649" max="5650" width="14" style="198" bestFit="1" customWidth="1"/>
    <col min="5651" max="5651" width="4.6640625" style="198" bestFit="1" customWidth="1"/>
    <col min="5652" max="5888" width="9.1640625" style="198"/>
    <col min="5889" max="5889" width="12.1640625" style="198" customWidth="1"/>
    <col min="5890" max="5890" width="14.6640625" style="198" bestFit="1" customWidth="1"/>
    <col min="5891" max="5891" width="12.6640625" style="198" bestFit="1" customWidth="1"/>
    <col min="5892" max="5892" width="13.6640625" style="198" bestFit="1" customWidth="1"/>
    <col min="5893" max="5893" width="12.6640625" style="198" bestFit="1" customWidth="1"/>
    <col min="5894" max="5894" width="12.33203125" style="198" bestFit="1" customWidth="1"/>
    <col min="5895" max="5895" width="12.6640625" style="198" bestFit="1" customWidth="1"/>
    <col min="5896" max="5897" width="12.5" style="198" bestFit="1" customWidth="1"/>
    <col min="5898" max="5898" width="13.6640625" style="198" bestFit="1" customWidth="1"/>
    <col min="5899" max="5903" width="13.6640625" style="198" customWidth="1"/>
    <col min="5904" max="5904" width="16" style="198" customWidth="1"/>
    <col min="5905" max="5906" width="14" style="198" bestFit="1" customWidth="1"/>
    <col min="5907" max="5907" width="4.6640625" style="198" bestFit="1" customWidth="1"/>
    <col min="5908" max="6144" width="9.1640625" style="198"/>
    <col min="6145" max="6145" width="12.1640625" style="198" customWidth="1"/>
    <col min="6146" max="6146" width="14.6640625" style="198" bestFit="1" customWidth="1"/>
    <col min="6147" max="6147" width="12.6640625" style="198" bestFit="1" customWidth="1"/>
    <col min="6148" max="6148" width="13.6640625" style="198" bestFit="1" customWidth="1"/>
    <col min="6149" max="6149" width="12.6640625" style="198" bestFit="1" customWidth="1"/>
    <col min="6150" max="6150" width="12.33203125" style="198" bestFit="1" customWidth="1"/>
    <col min="6151" max="6151" width="12.6640625" style="198" bestFit="1" customWidth="1"/>
    <col min="6152" max="6153" width="12.5" style="198" bestFit="1" customWidth="1"/>
    <col min="6154" max="6154" width="13.6640625" style="198" bestFit="1" customWidth="1"/>
    <col min="6155" max="6159" width="13.6640625" style="198" customWidth="1"/>
    <col min="6160" max="6160" width="16" style="198" customWidth="1"/>
    <col min="6161" max="6162" width="14" style="198" bestFit="1" customWidth="1"/>
    <col min="6163" max="6163" width="4.6640625" style="198" bestFit="1" customWidth="1"/>
    <col min="6164" max="6400" width="9.1640625" style="198"/>
    <col min="6401" max="6401" width="12.1640625" style="198" customWidth="1"/>
    <col min="6402" max="6402" width="14.6640625" style="198" bestFit="1" customWidth="1"/>
    <col min="6403" max="6403" width="12.6640625" style="198" bestFit="1" customWidth="1"/>
    <col min="6404" max="6404" width="13.6640625" style="198" bestFit="1" customWidth="1"/>
    <col min="6405" max="6405" width="12.6640625" style="198" bestFit="1" customWidth="1"/>
    <col min="6406" max="6406" width="12.33203125" style="198" bestFit="1" customWidth="1"/>
    <col min="6407" max="6407" width="12.6640625" style="198" bestFit="1" customWidth="1"/>
    <col min="6408" max="6409" width="12.5" style="198" bestFit="1" customWidth="1"/>
    <col min="6410" max="6410" width="13.6640625" style="198" bestFit="1" customWidth="1"/>
    <col min="6411" max="6415" width="13.6640625" style="198" customWidth="1"/>
    <col min="6416" max="6416" width="16" style="198" customWidth="1"/>
    <col min="6417" max="6418" width="14" style="198" bestFit="1" customWidth="1"/>
    <col min="6419" max="6419" width="4.6640625" style="198" bestFit="1" customWidth="1"/>
    <col min="6420" max="6656" width="9.1640625" style="198"/>
    <col min="6657" max="6657" width="12.1640625" style="198" customWidth="1"/>
    <col min="6658" max="6658" width="14.6640625" style="198" bestFit="1" customWidth="1"/>
    <col min="6659" max="6659" width="12.6640625" style="198" bestFit="1" customWidth="1"/>
    <col min="6660" max="6660" width="13.6640625" style="198" bestFit="1" customWidth="1"/>
    <col min="6661" max="6661" width="12.6640625" style="198" bestFit="1" customWidth="1"/>
    <col min="6662" max="6662" width="12.33203125" style="198" bestFit="1" customWidth="1"/>
    <col min="6663" max="6663" width="12.6640625" style="198" bestFit="1" customWidth="1"/>
    <col min="6664" max="6665" width="12.5" style="198" bestFit="1" customWidth="1"/>
    <col min="6666" max="6666" width="13.6640625" style="198" bestFit="1" customWidth="1"/>
    <col min="6667" max="6671" width="13.6640625" style="198" customWidth="1"/>
    <col min="6672" max="6672" width="16" style="198" customWidth="1"/>
    <col min="6673" max="6674" width="14" style="198" bestFit="1" customWidth="1"/>
    <col min="6675" max="6675" width="4.6640625" style="198" bestFit="1" customWidth="1"/>
    <col min="6676" max="6912" width="9.1640625" style="198"/>
    <col min="6913" max="6913" width="12.1640625" style="198" customWidth="1"/>
    <col min="6914" max="6914" width="14.6640625" style="198" bestFit="1" customWidth="1"/>
    <col min="6915" max="6915" width="12.6640625" style="198" bestFit="1" customWidth="1"/>
    <col min="6916" max="6916" width="13.6640625" style="198" bestFit="1" customWidth="1"/>
    <col min="6917" max="6917" width="12.6640625" style="198" bestFit="1" customWidth="1"/>
    <col min="6918" max="6918" width="12.33203125" style="198" bestFit="1" customWidth="1"/>
    <col min="6919" max="6919" width="12.6640625" style="198" bestFit="1" customWidth="1"/>
    <col min="6920" max="6921" width="12.5" style="198" bestFit="1" customWidth="1"/>
    <col min="6922" max="6922" width="13.6640625" style="198" bestFit="1" customWidth="1"/>
    <col min="6923" max="6927" width="13.6640625" style="198" customWidth="1"/>
    <col min="6928" max="6928" width="16" style="198" customWidth="1"/>
    <col min="6929" max="6930" width="14" style="198" bestFit="1" customWidth="1"/>
    <col min="6931" max="6931" width="4.6640625" style="198" bestFit="1" customWidth="1"/>
    <col min="6932" max="7168" width="9.1640625" style="198"/>
    <col min="7169" max="7169" width="12.1640625" style="198" customWidth="1"/>
    <col min="7170" max="7170" width="14.6640625" style="198" bestFit="1" customWidth="1"/>
    <col min="7171" max="7171" width="12.6640625" style="198" bestFit="1" customWidth="1"/>
    <col min="7172" max="7172" width="13.6640625" style="198" bestFit="1" customWidth="1"/>
    <col min="7173" max="7173" width="12.6640625" style="198" bestFit="1" customWidth="1"/>
    <col min="7174" max="7174" width="12.33203125" style="198" bestFit="1" customWidth="1"/>
    <col min="7175" max="7175" width="12.6640625" style="198" bestFit="1" customWidth="1"/>
    <col min="7176" max="7177" width="12.5" style="198" bestFit="1" customWidth="1"/>
    <col min="7178" max="7178" width="13.6640625" style="198" bestFit="1" customWidth="1"/>
    <col min="7179" max="7183" width="13.6640625" style="198" customWidth="1"/>
    <col min="7184" max="7184" width="16" style="198" customWidth="1"/>
    <col min="7185" max="7186" width="14" style="198" bestFit="1" customWidth="1"/>
    <col min="7187" max="7187" width="4.6640625" style="198" bestFit="1" customWidth="1"/>
    <col min="7188" max="7424" width="9.1640625" style="198"/>
    <col min="7425" max="7425" width="12.1640625" style="198" customWidth="1"/>
    <col min="7426" max="7426" width="14.6640625" style="198" bestFit="1" customWidth="1"/>
    <col min="7427" max="7427" width="12.6640625" style="198" bestFit="1" customWidth="1"/>
    <col min="7428" max="7428" width="13.6640625" style="198" bestFit="1" customWidth="1"/>
    <col min="7429" max="7429" width="12.6640625" style="198" bestFit="1" customWidth="1"/>
    <col min="7430" max="7430" width="12.33203125" style="198" bestFit="1" customWidth="1"/>
    <col min="7431" max="7431" width="12.6640625" style="198" bestFit="1" customWidth="1"/>
    <col min="7432" max="7433" width="12.5" style="198" bestFit="1" customWidth="1"/>
    <col min="7434" max="7434" width="13.6640625" style="198" bestFit="1" customWidth="1"/>
    <col min="7435" max="7439" width="13.6640625" style="198" customWidth="1"/>
    <col min="7440" max="7440" width="16" style="198" customWidth="1"/>
    <col min="7441" max="7442" width="14" style="198" bestFit="1" customWidth="1"/>
    <col min="7443" max="7443" width="4.6640625" style="198" bestFit="1" customWidth="1"/>
    <col min="7444" max="7680" width="9.1640625" style="198"/>
    <col min="7681" max="7681" width="12.1640625" style="198" customWidth="1"/>
    <col min="7682" max="7682" width="14.6640625" style="198" bestFit="1" customWidth="1"/>
    <col min="7683" max="7683" width="12.6640625" style="198" bestFit="1" customWidth="1"/>
    <col min="7684" max="7684" width="13.6640625" style="198" bestFit="1" customWidth="1"/>
    <col min="7685" max="7685" width="12.6640625" style="198" bestFit="1" customWidth="1"/>
    <col min="7686" max="7686" width="12.33203125" style="198" bestFit="1" customWidth="1"/>
    <col min="7687" max="7687" width="12.6640625" style="198" bestFit="1" customWidth="1"/>
    <col min="7688" max="7689" width="12.5" style="198" bestFit="1" customWidth="1"/>
    <col min="7690" max="7690" width="13.6640625" style="198" bestFit="1" customWidth="1"/>
    <col min="7691" max="7695" width="13.6640625" style="198" customWidth="1"/>
    <col min="7696" max="7696" width="16" style="198" customWidth="1"/>
    <col min="7697" max="7698" width="14" style="198" bestFit="1" customWidth="1"/>
    <col min="7699" max="7699" width="4.6640625" style="198" bestFit="1" customWidth="1"/>
    <col min="7700" max="7936" width="9.1640625" style="198"/>
    <col min="7937" max="7937" width="12.1640625" style="198" customWidth="1"/>
    <col min="7938" max="7938" width="14.6640625" style="198" bestFit="1" customWidth="1"/>
    <col min="7939" max="7939" width="12.6640625" style="198" bestFit="1" customWidth="1"/>
    <col min="7940" max="7940" width="13.6640625" style="198" bestFit="1" customWidth="1"/>
    <col min="7941" max="7941" width="12.6640625" style="198" bestFit="1" customWidth="1"/>
    <col min="7942" max="7942" width="12.33203125" style="198" bestFit="1" customWidth="1"/>
    <col min="7943" max="7943" width="12.6640625" style="198" bestFit="1" customWidth="1"/>
    <col min="7944" max="7945" width="12.5" style="198" bestFit="1" customWidth="1"/>
    <col min="7946" max="7946" width="13.6640625" style="198" bestFit="1" customWidth="1"/>
    <col min="7947" max="7951" width="13.6640625" style="198" customWidth="1"/>
    <col min="7952" max="7952" width="16" style="198" customWidth="1"/>
    <col min="7953" max="7954" width="14" style="198" bestFit="1" customWidth="1"/>
    <col min="7955" max="7955" width="4.6640625" style="198" bestFit="1" customWidth="1"/>
    <col min="7956" max="8192" width="9.1640625" style="198"/>
    <col min="8193" max="8193" width="12.1640625" style="198" customWidth="1"/>
    <col min="8194" max="8194" width="14.6640625" style="198" bestFit="1" customWidth="1"/>
    <col min="8195" max="8195" width="12.6640625" style="198" bestFit="1" customWidth="1"/>
    <col min="8196" max="8196" width="13.6640625" style="198" bestFit="1" customWidth="1"/>
    <col min="8197" max="8197" width="12.6640625" style="198" bestFit="1" customWidth="1"/>
    <col min="8198" max="8198" width="12.33203125" style="198" bestFit="1" customWidth="1"/>
    <col min="8199" max="8199" width="12.6640625" style="198" bestFit="1" customWidth="1"/>
    <col min="8200" max="8201" width="12.5" style="198" bestFit="1" customWidth="1"/>
    <col min="8202" max="8202" width="13.6640625" style="198" bestFit="1" customWidth="1"/>
    <col min="8203" max="8207" width="13.6640625" style="198" customWidth="1"/>
    <col min="8208" max="8208" width="16" style="198" customWidth="1"/>
    <col min="8209" max="8210" width="14" style="198" bestFit="1" customWidth="1"/>
    <col min="8211" max="8211" width="4.6640625" style="198" bestFit="1" customWidth="1"/>
    <col min="8212" max="8448" width="9.1640625" style="198"/>
    <col min="8449" max="8449" width="12.1640625" style="198" customWidth="1"/>
    <col min="8450" max="8450" width="14.6640625" style="198" bestFit="1" customWidth="1"/>
    <col min="8451" max="8451" width="12.6640625" style="198" bestFit="1" customWidth="1"/>
    <col min="8452" max="8452" width="13.6640625" style="198" bestFit="1" customWidth="1"/>
    <col min="8453" max="8453" width="12.6640625" style="198" bestFit="1" customWidth="1"/>
    <col min="8454" max="8454" width="12.33203125" style="198" bestFit="1" customWidth="1"/>
    <col min="8455" max="8455" width="12.6640625" style="198" bestFit="1" customWidth="1"/>
    <col min="8456" max="8457" width="12.5" style="198" bestFit="1" customWidth="1"/>
    <col min="8458" max="8458" width="13.6640625" style="198" bestFit="1" customWidth="1"/>
    <col min="8459" max="8463" width="13.6640625" style="198" customWidth="1"/>
    <col min="8464" max="8464" width="16" style="198" customWidth="1"/>
    <col min="8465" max="8466" width="14" style="198" bestFit="1" customWidth="1"/>
    <col min="8467" max="8467" width="4.6640625" style="198" bestFit="1" customWidth="1"/>
    <col min="8468" max="8704" width="9.1640625" style="198"/>
    <col min="8705" max="8705" width="12.1640625" style="198" customWidth="1"/>
    <col min="8706" max="8706" width="14.6640625" style="198" bestFit="1" customWidth="1"/>
    <col min="8707" max="8707" width="12.6640625" style="198" bestFit="1" customWidth="1"/>
    <col min="8708" max="8708" width="13.6640625" style="198" bestFit="1" customWidth="1"/>
    <col min="8709" max="8709" width="12.6640625" style="198" bestFit="1" customWidth="1"/>
    <col min="8710" max="8710" width="12.33203125" style="198" bestFit="1" customWidth="1"/>
    <col min="8711" max="8711" width="12.6640625" style="198" bestFit="1" customWidth="1"/>
    <col min="8712" max="8713" width="12.5" style="198" bestFit="1" customWidth="1"/>
    <col min="8714" max="8714" width="13.6640625" style="198" bestFit="1" customWidth="1"/>
    <col min="8715" max="8719" width="13.6640625" style="198" customWidth="1"/>
    <col min="8720" max="8720" width="16" style="198" customWidth="1"/>
    <col min="8721" max="8722" width="14" style="198" bestFit="1" customWidth="1"/>
    <col min="8723" max="8723" width="4.6640625" style="198" bestFit="1" customWidth="1"/>
    <col min="8724" max="8960" width="9.1640625" style="198"/>
    <col min="8961" max="8961" width="12.1640625" style="198" customWidth="1"/>
    <col min="8962" max="8962" width="14.6640625" style="198" bestFit="1" customWidth="1"/>
    <col min="8963" max="8963" width="12.6640625" style="198" bestFit="1" customWidth="1"/>
    <col min="8964" max="8964" width="13.6640625" style="198" bestFit="1" customWidth="1"/>
    <col min="8965" max="8965" width="12.6640625" style="198" bestFit="1" customWidth="1"/>
    <col min="8966" max="8966" width="12.33203125" style="198" bestFit="1" customWidth="1"/>
    <col min="8967" max="8967" width="12.6640625" style="198" bestFit="1" customWidth="1"/>
    <col min="8968" max="8969" width="12.5" style="198" bestFit="1" customWidth="1"/>
    <col min="8970" max="8970" width="13.6640625" style="198" bestFit="1" customWidth="1"/>
    <col min="8971" max="8975" width="13.6640625" style="198" customWidth="1"/>
    <col min="8976" max="8976" width="16" style="198" customWidth="1"/>
    <col min="8977" max="8978" width="14" style="198" bestFit="1" customWidth="1"/>
    <col min="8979" max="8979" width="4.6640625" style="198" bestFit="1" customWidth="1"/>
    <col min="8980" max="9216" width="9.1640625" style="198"/>
    <col min="9217" max="9217" width="12.1640625" style="198" customWidth="1"/>
    <col min="9218" max="9218" width="14.6640625" style="198" bestFit="1" customWidth="1"/>
    <col min="9219" max="9219" width="12.6640625" style="198" bestFit="1" customWidth="1"/>
    <col min="9220" max="9220" width="13.6640625" style="198" bestFit="1" customWidth="1"/>
    <col min="9221" max="9221" width="12.6640625" style="198" bestFit="1" customWidth="1"/>
    <col min="9222" max="9222" width="12.33203125" style="198" bestFit="1" customWidth="1"/>
    <col min="9223" max="9223" width="12.6640625" style="198" bestFit="1" customWidth="1"/>
    <col min="9224" max="9225" width="12.5" style="198" bestFit="1" customWidth="1"/>
    <col min="9226" max="9226" width="13.6640625" style="198" bestFit="1" customWidth="1"/>
    <col min="9227" max="9231" width="13.6640625" style="198" customWidth="1"/>
    <col min="9232" max="9232" width="16" style="198" customWidth="1"/>
    <col min="9233" max="9234" width="14" style="198" bestFit="1" customWidth="1"/>
    <col min="9235" max="9235" width="4.6640625" style="198" bestFit="1" customWidth="1"/>
    <col min="9236" max="9472" width="9.1640625" style="198"/>
    <col min="9473" max="9473" width="12.1640625" style="198" customWidth="1"/>
    <col min="9474" max="9474" width="14.6640625" style="198" bestFit="1" customWidth="1"/>
    <col min="9475" max="9475" width="12.6640625" style="198" bestFit="1" customWidth="1"/>
    <col min="9476" max="9476" width="13.6640625" style="198" bestFit="1" customWidth="1"/>
    <col min="9477" max="9477" width="12.6640625" style="198" bestFit="1" customWidth="1"/>
    <col min="9478" max="9478" width="12.33203125" style="198" bestFit="1" customWidth="1"/>
    <col min="9479" max="9479" width="12.6640625" style="198" bestFit="1" customWidth="1"/>
    <col min="9480" max="9481" width="12.5" style="198" bestFit="1" customWidth="1"/>
    <col min="9482" max="9482" width="13.6640625" style="198" bestFit="1" customWidth="1"/>
    <col min="9483" max="9487" width="13.6640625" style="198" customWidth="1"/>
    <col min="9488" max="9488" width="16" style="198" customWidth="1"/>
    <col min="9489" max="9490" width="14" style="198" bestFit="1" customWidth="1"/>
    <col min="9491" max="9491" width="4.6640625" style="198" bestFit="1" customWidth="1"/>
    <col min="9492" max="9728" width="9.1640625" style="198"/>
    <col min="9729" max="9729" width="12.1640625" style="198" customWidth="1"/>
    <col min="9730" max="9730" width="14.6640625" style="198" bestFit="1" customWidth="1"/>
    <col min="9731" max="9731" width="12.6640625" style="198" bestFit="1" customWidth="1"/>
    <col min="9732" max="9732" width="13.6640625" style="198" bestFit="1" customWidth="1"/>
    <col min="9733" max="9733" width="12.6640625" style="198" bestFit="1" customWidth="1"/>
    <col min="9734" max="9734" width="12.33203125" style="198" bestFit="1" customWidth="1"/>
    <col min="9735" max="9735" width="12.6640625" style="198" bestFit="1" customWidth="1"/>
    <col min="9736" max="9737" width="12.5" style="198" bestFit="1" customWidth="1"/>
    <col min="9738" max="9738" width="13.6640625" style="198" bestFit="1" customWidth="1"/>
    <col min="9739" max="9743" width="13.6640625" style="198" customWidth="1"/>
    <col min="9744" max="9744" width="16" style="198" customWidth="1"/>
    <col min="9745" max="9746" width="14" style="198" bestFit="1" customWidth="1"/>
    <col min="9747" max="9747" width="4.6640625" style="198" bestFit="1" customWidth="1"/>
    <col min="9748" max="9984" width="9.1640625" style="198"/>
    <col min="9985" max="9985" width="12.1640625" style="198" customWidth="1"/>
    <col min="9986" max="9986" width="14.6640625" style="198" bestFit="1" customWidth="1"/>
    <col min="9987" max="9987" width="12.6640625" style="198" bestFit="1" customWidth="1"/>
    <col min="9988" max="9988" width="13.6640625" style="198" bestFit="1" customWidth="1"/>
    <col min="9989" max="9989" width="12.6640625" style="198" bestFit="1" customWidth="1"/>
    <col min="9990" max="9990" width="12.33203125" style="198" bestFit="1" customWidth="1"/>
    <col min="9991" max="9991" width="12.6640625" style="198" bestFit="1" customWidth="1"/>
    <col min="9992" max="9993" width="12.5" style="198" bestFit="1" customWidth="1"/>
    <col min="9994" max="9994" width="13.6640625" style="198" bestFit="1" customWidth="1"/>
    <col min="9995" max="9999" width="13.6640625" style="198" customWidth="1"/>
    <col min="10000" max="10000" width="16" style="198" customWidth="1"/>
    <col min="10001" max="10002" width="14" style="198" bestFit="1" customWidth="1"/>
    <col min="10003" max="10003" width="4.6640625" style="198" bestFit="1" customWidth="1"/>
    <col min="10004" max="10240" width="9.1640625" style="198"/>
    <col min="10241" max="10241" width="12.1640625" style="198" customWidth="1"/>
    <col min="10242" max="10242" width="14.6640625" style="198" bestFit="1" customWidth="1"/>
    <col min="10243" max="10243" width="12.6640625" style="198" bestFit="1" customWidth="1"/>
    <col min="10244" max="10244" width="13.6640625" style="198" bestFit="1" customWidth="1"/>
    <col min="10245" max="10245" width="12.6640625" style="198" bestFit="1" customWidth="1"/>
    <col min="10246" max="10246" width="12.33203125" style="198" bestFit="1" customWidth="1"/>
    <col min="10247" max="10247" width="12.6640625" style="198" bestFit="1" customWidth="1"/>
    <col min="10248" max="10249" width="12.5" style="198" bestFit="1" customWidth="1"/>
    <col min="10250" max="10250" width="13.6640625" style="198" bestFit="1" customWidth="1"/>
    <col min="10251" max="10255" width="13.6640625" style="198" customWidth="1"/>
    <col min="10256" max="10256" width="16" style="198" customWidth="1"/>
    <col min="10257" max="10258" width="14" style="198" bestFit="1" customWidth="1"/>
    <col min="10259" max="10259" width="4.6640625" style="198" bestFit="1" customWidth="1"/>
    <col min="10260" max="10496" width="9.1640625" style="198"/>
    <col min="10497" max="10497" width="12.1640625" style="198" customWidth="1"/>
    <col min="10498" max="10498" width="14.6640625" style="198" bestFit="1" customWidth="1"/>
    <col min="10499" max="10499" width="12.6640625" style="198" bestFit="1" customWidth="1"/>
    <col min="10500" max="10500" width="13.6640625" style="198" bestFit="1" customWidth="1"/>
    <col min="10501" max="10501" width="12.6640625" style="198" bestFit="1" customWidth="1"/>
    <col min="10502" max="10502" width="12.33203125" style="198" bestFit="1" customWidth="1"/>
    <col min="10503" max="10503" width="12.6640625" style="198" bestFit="1" customWidth="1"/>
    <col min="10504" max="10505" width="12.5" style="198" bestFit="1" customWidth="1"/>
    <col min="10506" max="10506" width="13.6640625" style="198" bestFit="1" customWidth="1"/>
    <col min="10507" max="10511" width="13.6640625" style="198" customWidth="1"/>
    <col min="10512" max="10512" width="16" style="198" customWidth="1"/>
    <col min="10513" max="10514" width="14" style="198" bestFit="1" customWidth="1"/>
    <col min="10515" max="10515" width="4.6640625" style="198" bestFit="1" customWidth="1"/>
    <col min="10516" max="10752" width="9.1640625" style="198"/>
    <col min="10753" max="10753" width="12.1640625" style="198" customWidth="1"/>
    <col min="10754" max="10754" width="14.6640625" style="198" bestFit="1" customWidth="1"/>
    <col min="10755" max="10755" width="12.6640625" style="198" bestFit="1" customWidth="1"/>
    <col min="10756" max="10756" width="13.6640625" style="198" bestFit="1" customWidth="1"/>
    <col min="10757" max="10757" width="12.6640625" style="198" bestFit="1" customWidth="1"/>
    <col min="10758" max="10758" width="12.33203125" style="198" bestFit="1" customWidth="1"/>
    <col min="10759" max="10759" width="12.6640625" style="198" bestFit="1" customWidth="1"/>
    <col min="10760" max="10761" width="12.5" style="198" bestFit="1" customWidth="1"/>
    <col min="10762" max="10762" width="13.6640625" style="198" bestFit="1" customWidth="1"/>
    <col min="10763" max="10767" width="13.6640625" style="198" customWidth="1"/>
    <col min="10768" max="10768" width="16" style="198" customWidth="1"/>
    <col min="10769" max="10770" width="14" style="198" bestFit="1" customWidth="1"/>
    <col min="10771" max="10771" width="4.6640625" style="198" bestFit="1" customWidth="1"/>
    <col min="10772" max="11008" width="9.1640625" style="198"/>
    <col min="11009" max="11009" width="12.1640625" style="198" customWidth="1"/>
    <col min="11010" max="11010" width="14.6640625" style="198" bestFit="1" customWidth="1"/>
    <col min="11011" max="11011" width="12.6640625" style="198" bestFit="1" customWidth="1"/>
    <col min="11012" max="11012" width="13.6640625" style="198" bestFit="1" customWidth="1"/>
    <col min="11013" max="11013" width="12.6640625" style="198" bestFit="1" customWidth="1"/>
    <col min="11014" max="11014" width="12.33203125" style="198" bestFit="1" customWidth="1"/>
    <col min="11015" max="11015" width="12.6640625" style="198" bestFit="1" customWidth="1"/>
    <col min="11016" max="11017" width="12.5" style="198" bestFit="1" customWidth="1"/>
    <col min="11018" max="11018" width="13.6640625" style="198" bestFit="1" customWidth="1"/>
    <col min="11019" max="11023" width="13.6640625" style="198" customWidth="1"/>
    <col min="11024" max="11024" width="16" style="198" customWidth="1"/>
    <col min="11025" max="11026" width="14" style="198" bestFit="1" customWidth="1"/>
    <col min="11027" max="11027" width="4.6640625" style="198" bestFit="1" customWidth="1"/>
    <col min="11028" max="11264" width="9.1640625" style="198"/>
    <col min="11265" max="11265" width="12.1640625" style="198" customWidth="1"/>
    <col min="11266" max="11266" width="14.6640625" style="198" bestFit="1" customWidth="1"/>
    <col min="11267" max="11267" width="12.6640625" style="198" bestFit="1" customWidth="1"/>
    <col min="11268" max="11268" width="13.6640625" style="198" bestFit="1" customWidth="1"/>
    <col min="11269" max="11269" width="12.6640625" style="198" bestFit="1" customWidth="1"/>
    <col min="11270" max="11270" width="12.33203125" style="198" bestFit="1" customWidth="1"/>
    <col min="11271" max="11271" width="12.6640625" style="198" bestFit="1" customWidth="1"/>
    <col min="11272" max="11273" width="12.5" style="198" bestFit="1" customWidth="1"/>
    <col min="11274" max="11274" width="13.6640625" style="198" bestFit="1" customWidth="1"/>
    <col min="11275" max="11279" width="13.6640625" style="198" customWidth="1"/>
    <col min="11280" max="11280" width="16" style="198" customWidth="1"/>
    <col min="11281" max="11282" width="14" style="198" bestFit="1" customWidth="1"/>
    <col min="11283" max="11283" width="4.6640625" style="198" bestFit="1" customWidth="1"/>
    <col min="11284" max="11520" width="9.1640625" style="198"/>
    <col min="11521" max="11521" width="12.1640625" style="198" customWidth="1"/>
    <col min="11522" max="11522" width="14.6640625" style="198" bestFit="1" customWidth="1"/>
    <col min="11523" max="11523" width="12.6640625" style="198" bestFit="1" customWidth="1"/>
    <col min="11524" max="11524" width="13.6640625" style="198" bestFit="1" customWidth="1"/>
    <col min="11525" max="11525" width="12.6640625" style="198" bestFit="1" customWidth="1"/>
    <col min="11526" max="11526" width="12.33203125" style="198" bestFit="1" customWidth="1"/>
    <col min="11527" max="11527" width="12.6640625" style="198" bestFit="1" customWidth="1"/>
    <col min="11528" max="11529" width="12.5" style="198" bestFit="1" customWidth="1"/>
    <col min="11530" max="11530" width="13.6640625" style="198" bestFit="1" customWidth="1"/>
    <col min="11531" max="11535" width="13.6640625" style="198" customWidth="1"/>
    <col min="11536" max="11536" width="16" style="198" customWidth="1"/>
    <col min="11537" max="11538" width="14" style="198" bestFit="1" customWidth="1"/>
    <col min="11539" max="11539" width="4.6640625" style="198" bestFit="1" customWidth="1"/>
    <col min="11540" max="11776" width="9.1640625" style="198"/>
    <col min="11777" max="11777" width="12.1640625" style="198" customWidth="1"/>
    <col min="11778" max="11778" width="14.6640625" style="198" bestFit="1" customWidth="1"/>
    <col min="11779" max="11779" width="12.6640625" style="198" bestFit="1" customWidth="1"/>
    <col min="11780" max="11780" width="13.6640625" style="198" bestFit="1" customWidth="1"/>
    <col min="11781" max="11781" width="12.6640625" style="198" bestFit="1" customWidth="1"/>
    <col min="11782" max="11782" width="12.33203125" style="198" bestFit="1" customWidth="1"/>
    <col min="11783" max="11783" width="12.6640625" style="198" bestFit="1" customWidth="1"/>
    <col min="11784" max="11785" width="12.5" style="198" bestFit="1" customWidth="1"/>
    <col min="11786" max="11786" width="13.6640625" style="198" bestFit="1" customWidth="1"/>
    <col min="11787" max="11791" width="13.6640625" style="198" customWidth="1"/>
    <col min="11792" max="11792" width="16" style="198" customWidth="1"/>
    <col min="11793" max="11794" width="14" style="198" bestFit="1" customWidth="1"/>
    <col min="11795" max="11795" width="4.6640625" style="198" bestFit="1" customWidth="1"/>
    <col min="11796" max="12032" width="9.1640625" style="198"/>
    <col min="12033" max="12033" width="12.1640625" style="198" customWidth="1"/>
    <col min="12034" max="12034" width="14.6640625" style="198" bestFit="1" customWidth="1"/>
    <col min="12035" max="12035" width="12.6640625" style="198" bestFit="1" customWidth="1"/>
    <col min="12036" max="12036" width="13.6640625" style="198" bestFit="1" customWidth="1"/>
    <col min="12037" max="12037" width="12.6640625" style="198" bestFit="1" customWidth="1"/>
    <col min="12038" max="12038" width="12.33203125" style="198" bestFit="1" customWidth="1"/>
    <col min="12039" max="12039" width="12.6640625" style="198" bestFit="1" customWidth="1"/>
    <col min="12040" max="12041" width="12.5" style="198" bestFit="1" customWidth="1"/>
    <col min="12042" max="12042" width="13.6640625" style="198" bestFit="1" customWidth="1"/>
    <col min="12043" max="12047" width="13.6640625" style="198" customWidth="1"/>
    <col min="12048" max="12048" width="16" style="198" customWidth="1"/>
    <col min="12049" max="12050" width="14" style="198" bestFit="1" customWidth="1"/>
    <col min="12051" max="12051" width="4.6640625" style="198" bestFit="1" customWidth="1"/>
    <col min="12052" max="12288" width="9.1640625" style="198"/>
    <col min="12289" max="12289" width="12.1640625" style="198" customWidth="1"/>
    <col min="12290" max="12290" width="14.6640625" style="198" bestFit="1" customWidth="1"/>
    <col min="12291" max="12291" width="12.6640625" style="198" bestFit="1" customWidth="1"/>
    <col min="12292" max="12292" width="13.6640625" style="198" bestFit="1" customWidth="1"/>
    <col min="12293" max="12293" width="12.6640625" style="198" bestFit="1" customWidth="1"/>
    <col min="12294" max="12294" width="12.33203125" style="198" bestFit="1" customWidth="1"/>
    <col min="12295" max="12295" width="12.6640625" style="198" bestFit="1" customWidth="1"/>
    <col min="12296" max="12297" width="12.5" style="198" bestFit="1" customWidth="1"/>
    <col min="12298" max="12298" width="13.6640625" style="198" bestFit="1" customWidth="1"/>
    <col min="12299" max="12303" width="13.6640625" style="198" customWidth="1"/>
    <col min="12304" max="12304" width="16" style="198" customWidth="1"/>
    <col min="12305" max="12306" width="14" style="198" bestFit="1" customWidth="1"/>
    <col min="12307" max="12307" width="4.6640625" style="198" bestFit="1" customWidth="1"/>
    <col min="12308" max="12544" width="9.1640625" style="198"/>
    <col min="12545" max="12545" width="12.1640625" style="198" customWidth="1"/>
    <col min="12546" max="12546" width="14.6640625" style="198" bestFit="1" customWidth="1"/>
    <col min="12547" max="12547" width="12.6640625" style="198" bestFit="1" customWidth="1"/>
    <col min="12548" max="12548" width="13.6640625" style="198" bestFit="1" customWidth="1"/>
    <col min="12549" max="12549" width="12.6640625" style="198" bestFit="1" customWidth="1"/>
    <col min="12550" max="12550" width="12.33203125" style="198" bestFit="1" customWidth="1"/>
    <col min="12551" max="12551" width="12.6640625" style="198" bestFit="1" customWidth="1"/>
    <col min="12552" max="12553" width="12.5" style="198" bestFit="1" customWidth="1"/>
    <col min="12554" max="12554" width="13.6640625" style="198" bestFit="1" customWidth="1"/>
    <col min="12555" max="12559" width="13.6640625" style="198" customWidth="1"/>
    <col min="12560" max="12560" width="16" style="198" customWidth="1"/>
    <col min="12561" max="12562" width="14" style="198" bestFit="1" customWidth="1"/>
    <col min="12563" max="12563" width="4.6640625" style="198" bestFit="1" customWidth="1"/>
    <col min="12564" max="12800" width="9.1640625" style="198"/>
    <col min="12801" max="12801" width="12.1640625" style="198" customWidth="1"/>
    <col min="12802" max="12802" width="14.6640625" style="198" bestFit="1" customWidth="1"/>
    <col min="12803" max="12803" width="12.6640625" style="198" bestFit="1" customWidth="1"/>
    <col min="12804" max="12804" width="13.6640625" style="198" bestFit="1" customWidth="1"/>
    <col min="12805" max="12805" width="12.6640625" style="198" bestFit="1" customWidth="1"/>
    <col min="12806" max="12806" width="12.33203125" style="198" bestFit="1" customWidth="1"/>
    <col min="12807" max="12807" width="12.6640625" style="198" bestFit="1" customWidth="1"/>
    <col min="12808" max="12809" width="12.5" style="198" bestFit="1" customWidth="1"/>
    <col min="12810" max="12810" width="13.6640625" style="198" bestFit="1" customWidth="1"/>
    <col min="12811" max="12815" width="13.6640625" style="198" customWidth="1"/>
    <col min="12816" max="12816" width="16" style="198" customWidth="1"/>
    <col min="12817" max="12818" width="14" style="198" bestFit="1" customWidth="1"/>
    <col min="12819" max="12819" width="4.6640625" style="198" bestFit="1" customWidth="1"/>
    <col min="12820" max="13056" width="9.1640625" style="198"/>
    <col min="13057" max="13057" width="12.1640625" style="198" customWidth="1"/>
    <col min="13058" max="13058" width="14.6640625" style="198" bestFit="1" customWidth="1"/>
    <col min="13059" max="13059" width="12.6640625" style="198" bestFit="1" customWidth="1"/>
    <col min="13060" max="13060" width="13.6640625" style="198" bestFit="1" customWidth="1"/>
    <col min="13061" max="13061" width="12.6640625" style="198" bestFit="1" customWidth="1"/>
    <col min="13062" max="13062" width="12.33203125" style="198" bestFit="1" customWidth="1"/>
    <col min="13063" max="13063" width="12.6640625" style="198" bestFit="1" customWidth="1"/>
    <col min="13064" max="13065" width="12.5" style="198" bestFit="1" customWidth="1"/>
    <col min="13066" max="13066" width="13.6640625" style="198" bestFit="1" customWidth="1"/>
    <col min="13067" max="13071" width="13.6640625" style="198" customWidth="1"/>
    <col min="13072" max="13072" width="16" style="198" customWidth="1"/>
    <col min="13073" max="13074" width="14" style="198" bestFit="1" customWidth="1"/>
    <col min="13075" max="13075" width="4.6640625" style="198" bestFit="1" customWidth="1"/>
    <col min="13076" max="13312" width="9.1640625" style="198"/>
    <col min="13313" max="13313" width="12.1640625" style="198" customWidth="1"/>
    <col min="13314" max="13314" width="14.6640625" style="198" bestFit="1" customWidth="1"/>
    <col min="13315" max="13315" width="12.6640625" style="198" bestFit="1" customWidth="1"/>
    <col min="13316" max="13316" width="13.6640625" style="198" bestFit="1" customWidth="1"/>
    <col min="13317" max="13317" width="12.6640625" style="198" bestFit="1" customWidth="1"/>
    <col min="13318" max="13318" width="12.33203125" style="198" bestFit="1" customWidth="1"/>
    <col min="13319" max="13319" width="12.6640625" style="198" bestFit="1" customWidth="1"/>
    <col min="13320" max="13321" width="12.5" style="198" bestFit="1" customWidth="1"/>
    <col min="13322" max="13322" width="13.6640625" style="198" bestFit="1" customWidth="1"/>
    <col min="13323" max="13327" width="13.6640625" style="198" customWidth="1"/>
    <col min="13328" max="13328" width="16" style="198" customWidth="1"/>
    <col min="13329" max="13330" width="14" style="198" bestFit="1" customWidth="1"/>
    <col min="13331" max="13331" width="4.6640625" style="198" bestFit="1" customWidth="1"/>
    <col min="13332" max="13568" width="9.1640625" style="198"/>
    <col min="13569" max="13569" width="12.1640625" style="198" customWidth="1"/>
    <col min="13570" max="13570" width="14.6640625" style="198" bestFit="1" customWidth="1"/>
    <col min="13571" max="13571" width="12.6640625" style="198" bestFit="1" customWidth="1"/>
    <col min="13572" max="13572" width="13.6640625" style="198" bestFit="1" customWidth="1"/>
    <col min="13573" max="13573" width="12.6640625" style="198" bestFit="1" customWidth="1"/>
    <col min="13574" max="13574" width="12.33203125" style="198" bestFit="1" customWidth="1"/>
    <col min="13575" max="13575" width="12.6640625" style="198" bestFit="1" customWidth="1"/>
    <col min="13576" max="13577" width="12.5" style="198" bestFit="1" customWidth="1"/>
    <col min="13578" max="13578" width="13.6640625" style="198" bestFit="1" customWidth="1"/>
    <col min="13579" max="13583" width="13.6640625" style="198" customWidth="1"/>
    <col min="13584" max="13584" width="16" style="198" customWidth="1"/>
    <col min="13585" max="13586" width="14" style="198" bestFit="1" customWidth="1"/>
    <col min="13587" max="13587" width="4.6640625" style="198" bestFit="1" customWidth="1"/>
    <col min="13588" max="13824" width="9.1640625" style="198"/>
    <col min="13825" max="13825" width="12.1640625" style="198" customWidth="1"/>
    <col min="13826" max="13826" width="14.6640625" style="198" bestFit="1" customWidth="1"/>
    <col min="13827" max="13827" width="12.6640625" style="198" bestFit="1" customWidth="1"/>
    <col min="13828" max="13828" width="13.6640625" style="198" bestFit="1" customWidth="1"/>
    <col min="13829" max="13829" width="12.6640625" style="198" bestFit="1" customWidth="1"/>
    <col min="13830" max="13830" width="12.33203125" style="198" bestFit="1" customWidth="1"/>
    <col min="13831" max="13831" width="12.6640625" style="198" bestFit="1" customWidth="1"/>
    <col min="13832" max="13833" width="12.5" style="198" bestFit="1" customWidth="1"/>
    <col min="13834" max="13834" width="13.6640625" style="198" bestFit="1" customWidth="1"/>
    <col min="13835" max="13839" width="13.6640625" style="198" customWidth="1"/>
    <col min="13840" max="13840" width="16" style="198" customWidth="1"/>
    <col min="13841" max="13842" width="14" style="198" bestFit="1" customWidth="1"/>
    <col min="13843" max="13843" width="4.6640625" style="198" bestFit="1" customWidth="1"/>
    <col min="13844" max="14080" width="9.1640625" style="198"/>
    <col min="14081" max="14081" width="12.1640625" style="198" customWidth="1"/>
    <col min="14082" max="14082" width="14.6640625" style="198" bestFit="1" customWidth="1"/>
    <col min="14083" max="14083" width="12.6640625" style="198" bestFit="1" customWidth="1"/>
    <col min="14084" max="14084" width="13.6640625" style="198" bestFit="1" customWidth="1"/>
    <col min="14085" max="14085" width="12.6640625" style="198" bestFit="1" customWidth="1"/>
    <col min="14086" max="14086" width="12.33203125" style="198" bestFit="1" customWidth="1"/>
    <col min="14087" max="14087" width="12.6640625" style="198" bestFit="1" customWidth="1"/>
    <col min="14088" max="14089" width="12.5" style="198" bestFit="1" customWidth="1"/>
    <col min="14090" max="14090" width="13.6640625" style="198" bestFit="1" customWidth="1"/>
    <col min="14091" max="14095" width="13.6640625" style="198" customWidth="1"/>
    <col min="14096" max="14096" width="16" style="198" customWidth="1"/>
    <col min="14097" max="14098" width="14" style="198" bestFit="1" customWidth="1"/>
    <col min="14099" max="14099" width="4.6640625" style="198" bestFit="1" customWidth="1"/>
    <col min="14100" max="14336" width="9.1640625" style="198"/>
    <col min="14337" max="14337" width="12.1640625" style="198" customWidth="1"/>
    <col min="14338" max="14338" width="14.6640625" style="198" bestFit="1" customWidth="1"/>
    <col min="14339" max="14339" width="12.6640625" style="198" bestFit="1" customWidth="1"/>
    <col min="14340" max="14340" width="13.6640625" style="198" bestFit="1" customWidth="1"/>
    <col min="14341" max="14341" width="12.6640625" style="198" bestFit="1" customWidth="1"/>
    <col min="14342" max="14342" width="12.33203125" style="198" bestFit="1" customWidth="1"/>
    <col min="14343" max="14343" width="12.6640625" style="198" bestFit="1" customWidth="1"/>
    <col min="14344" max="14345" width="12.5" style="198" bestFit="1" customWidth="1"/>
    <col min="14346" max="14346" width="13.6640625" style="198" bestFit="1" customWidth="1"/>
    <col min="14347" max="14351" width="13.6640625" style="198" customWidth="1"/>
    <col min="14352" max="14352" width="16" style="198" customWidth="1"/>
    <col min="14353" max="14354" width="14" style="198" bestFit="1" customWidth="1"/>
    <col min="14355" max="14355" width="4.6640625" style="198" bestFit="1" customWidth="1"/>
    <col min="14356" max="14592" width="9.1640625" style="198"/>
    <col min="14593" max="14593" width="12.1640625" style="198" customWidth="1"/>
    <col min="14594" max="14594" width="14.6640625" style="198" bestFit="1" customWidth="1"/>
    <col min="14595" max="14595" width="12.6640625" style="198" bestFit="1" customWidth="1"/>
    <col min="14596" max="14596" width="13.6640625" style="198" bestFit="1" customWidth="1"/>
    <col min="14597" max="14597" width="12.6640625" style="198" bestFit="1" customWidth="1"/>
    <col min="14598" max="14598" width="12.33203125" style="198" bestFit="1" customWidth="1"/>
    <col min="14599" max="14599" width="12.6640625" style="198" bestFit="1" customWidth="1"/>
    <col min="14600" max="14601" width="12.5" style="198" bestFit="1" customWidth="1"/>
    <col min="14602" max="14602" width="13.6640625" style="198" bestFit="1" customWidth="1"/>
    <col min="14603" max="14607" width="13.6640625" style="198" customWidth="1"/>
    <col min="14608" max="14608" width="16" style="198" customWidth="1"/>
    <col min="14609" max="14610" width="14" style="198" bestFit="1" customWidth="1"/>
    <col min="14611" max="14611" width="4.6640625" style="198" bestFit="1" customWidth="1"/>
    <col min="14612" max="14848" width="9.1640625" style="198"/>
    <col min="14849" max="14849" width="12.1640625" style="198" customWidth="1"/>
    <col min="14850" max="14850" width="14.6640625" style="198" bestFit="1" customWidth="1"/>
    <col min="14851" max="14851" width="12.6640625" style="198" bestFit="1" customWidth="1"/>
    <col min="14852" max="14852" width="13.6640625" style="198" bestFit="1" customWidth="1"/>
    <col min="14853" max="14853" width="12.6640625" style="198" bestFit="1" customWidth="1"/>
    <col min="14854" max="14854" width="12.33203125" style="198" bestFit="1" customWidth="1"/>
    <col min="14855" max="14855" width="12.6640625" style="198" bestFit="1" customWidth="1"/>
    <col min="14856" max="14857" width="12.5" style="198" bestFit="1" customWidth="1"/>
    <col min="14858" max="14858" width="13.6640625" style="198" bestFit="1" customWidth="1"/>
    <col min="14859" max="14863" width="13.6640625" style="198" customWidth="1"/>
    <col min="14864" max="14864" width="16" style="198" customWidth="1"/>
    <col min="14865" max="14866" width="14" style="198" bestFit="1" customWidth="1"/>
    <col min="14867" max="14867" width="4.6640625" style="198" bestFit="1" customWidth="1"/>
    <col min="14868" max="15104" width="9.1640625" style="198"/>
    <col min="15105" max="15105" width="12.1640625" style="198" customWidth="1"/>
    <col min="15106" max="15106" width="14.6640625" style="198" bestFit="1" customWidth="1"/>
    <col min="15107" max="15107" width="12.6640625" style="198" bestFit="1" customWidth="1"/>
    <col min="15108" max="15108" width="13.6640625" style="198" bestFit="1" customWidth="1"/>
    <col min="15109" max="15109" width="12.6640625" style="198" bestFit="1" customWidth="1"/>
    <col min="15110" max="15110" width="12.33203125" style="198" bestFit="1" customWidth="1"/>
    <col min="15111" max="15111" width="12.6640625" style="198" bestFit="1" customWidth="1"/>
    <col min="15112" max="15113" width="12.5" style="198" bestFit="1" customWidth="1"/>
    <col min="15114" max="15114" width="13.6640625" style="198" bestFit="1" customWidth="1"/>
    <col min="15115" max="15119" width="13.6640625" style="198" customWidth="1"/>
    <col min="15120" max="15120" width="16" style="198" customWidth="1"/>
    <col min="15121" max="15122" width="14" style="198" bestFit="1" customWidth="1"/>
    <col min="15123" max="15123" width="4.6640625" style="198" bestFit="1" customWidth="1"/>
    <col min="15124" max="15360" width="9.1640625" style="198"/>
    <col min="15361" max="15361" width="12.1640625" style="198" customWidth="1"/>
    <col min="15362" max="15362" width="14.6640625" style="198" bestFit="1" customWidth="1"/>
    <col min="15363" max="15363" width="12.6640625" style="198" bestFit="1" customWidth="1"/>
    <col min="15364" max="15364" width="13.6640625" style="198" bestFit="1" customWidth="1"/>
    <col min="15365" max="15365" width="12.6640625" style="198" bestFit="1" customWidth="1"/>
    <col min="15366" max="15366" width="12.33203125" style="198" bestFit="1" customWidth="1"/>
    <col min="15367" max="15367" width="12.6640625" style="198" bestFit="1" customWidth="1"/>
    <col min="15368" max="15369" width="12.5" style="198" bestFit="1" customWidth="1"/>
    <col min="15370" max="15370" width="13.6640625" style="198" bestFit="1" customWidth="1"/>
    <col min="15371" max="15375" width="13.6640625" style="198" customWidth="1"/>
    <col min="15376" max="15376" width="16" style="198" customWidth="1"/>
    <col min="15377" max="15378" width="14" style="198" bestFit="1" customWidth="1"/>
    <col min="15379" max="15379" width="4.6640625" style="198" bestFit="1" customWidth="1"/>
    <col min="15380" max="15616" width="9.1640625" style="198"/>
    <col min="15617" max="15617" width="12.1640625" style="198" customWidth="1"/>
    <col min="15618" max="15618" width="14.6640625" style="198" bestFit="1" customWidth="1"/>
    <col min="15619" max="15619" width="12.6640625" style="198" bestFit="1" customWidth="1"/>
    <col min="15620" max="15620" width="13.6640625" style="198" bestFit="1" customWidth="1"/>
    <col min="15621" max="15621" width="12.6640625" style="198" bestFit="1" customWidth="1"/>
    <col min="15622" max="15622" width="12.33203125" style="198" bestFit="1" customWidth="1"/>
    <col min="15623" max="15623" width="12.6640625" style="198" bestFit="1" customWidth="1"/>
    <col min="15624" max="15625" width="12.5" style="198" bestFit="1" customWidth="1"/>
    <col min="15626" max="15626" width="13.6640625" style="198" bestFit="1" customWidth="1"/>
    <col min="15627" max="15631" width="13.6640625" style="198" customWidth="1"/>
    <col min="15632" max="15632" width="16" style="198" customWidth="1"/>
    <col min="15633" max="15634" width="14" style="198" bestFit="1" customWidth="1"/>
    <col min="15635" max="15635" width="4.6640625" style="198" bestFit="1" customWidth="1"/>
    <col min="15636" max="15872" width="9.1640625" style="198"/>
    <col min="15873" max="15873" width="12.1640625" style="198" customWidth="1"/>
    <col min="15874" max="15874" width="14.6640625" style="198" bestFit="1" customWidth="1"/>
    <col min="15875" max="15875" width="12.6640625" style="198" bestFit="1" customWidth="1"/>
    <col min="15876" max="15876" width="13.6640625" style="198" bestFit="1" customWidth="1"/>
    <col min="15877" max="15877" width="12.6640625" style="198" bestFit="1" customWidth="1"/>
    <col min="15878" max="15878" width="12.33203125" style="198" bestFit="1" customWidth="1"/>
    <col min="15879" max="15879" width="12.6640625" style="198" bestFit="1" customWidth="1"/>
    <col min="15880" max="15881" width="12.5" style="198" bestFit="1" customWidth="1"/>
    <col min="15882" max="15882" width="13.6640625" style="198" bestFit="1" customWidth="1"/>
    <col min="15883" max="15887" width="13.6640625" style="198" customWidth="1"/>
    <col min="15888" max="15888" width="16" style="198" customWidth="1"/>
    <col min="15889" max="15890" width="14" style="198" bestFit="1" customWidth="1"/>
    <col min="15891" max="15891" width="4.6640625" style="198" bestFit="1" customWidth="1"/>
    <col min="15892" max="16128" width="9.1640625" style="198"/>
    <col min="16129" max="16129" width="12.1640625" style="198" customWidth="1"/>
    <col min="16130" max="16130" width="14.6640625" style="198" bestFit="1" customWidth="1"/>
    <col min="16131" max="16131" width="12.6640625" style="198" bestFit="1" customWidth="1"/>
    <col min="16132" max="16132" width="13.6640625" style="198" bestFit="1" customWidth="1"/>
    <col min="16133" max="16133" width="12.6640625" style="198" bestFit="1" customWidth="1"/>
    <col min="16134" max="16134" width="12.33203125" style="198" bestFit="1" customWidth="1"/>
    <col min="16135" max="16135" width="12.6640625" style="198" bestFit="1" customWidth="1"/>
    <col min="16136" max="16137" width="12.5" style="198" bestFit="1" customWidth="1"/>
    <col min="16138" max="16138" width="13.6640625" style="198" bestFit="1" customWidth="1"/>
    <col min="16139" max="16143" width="13.6640625" style="198" customWidth="1"/>
    <col min="16144" max="16144" width="16" style="198" customWidth="1"/>
    <col min="16145" max="16146" width="14" style="198" bestFit="1" customWidth="1"/>
    <col min="16147" max="16147" width="4.6640625" style="198" bestFit="1" customWidth="1"/>
    <col min="16148" max="16384" width="9.1640625" style="198"/>
  </cols>
  <sheetData>
    <row r="1" spans="1:18" ht="15.75" customHeight="1">
      <c r="A1" s="609" t="s">
        <v>22</v>
      </c>
      <c r="B1" s="609"/>
      <c r="C1" s="609"/>
      <c r="D1" s="609"/>
      <c r="E1" s="609"/>
      <c r="F1" s="609"/>
      <c r="G1" s="609"/>
      <c r="H1" s="609"/>
      <c r="I1" s="609"/>
      <c r="J1" s="609"/>
      <c r="K1" s="609"/>
      <c r="L1" s="609"/>
      <c r="M1" s="609"/>
      <c r="N1" s="609"/>
      <c r="O1" s="609"/>
      <c r="P1" s="609"/>
      <c r="Q1" s="226"/>
      <c r="R1" s="322"/>
    </row>
    <row r="2" spans="1:18" ht="15.75" customHeight="1">
      <c r="A2" s="616" t="str">
        <f>'Rate Change Calc'!A2:E2</f>
        <v>2016 Gas Decoupling Filing</v>
      </c>
      <c r="B2" s="616"/>
      <c r="C2" s="616"/>
      <c r="D2" s="616"/>
      <c r="E2" s="616"/>
      <c r="F2" s="616"/>
      <c r="G2" s="616"/>
      <c r="H2" s="616"/>
      <c r="I2" s="616"/>
      <c r="J2" s="616"/>
      <c r="K2" s="616"/>
      <c r="L2" s="616"/>
      <c r="M2" s="616"/>
      <c r="N2" s="616"/>
      <c r="O2" s="616"/>
      <c r="P2" s="616"/>
      <c r="Q2" s="199"/>
      <c r="R2" s="322"/>
    </row>
    <row r="3" spans="1:18" ht="16">
      <c r="A3" s="609" t="s">
        <v>237</v>
      </c>
      <c r="B3" s="609"/>
      <c r="C3" s="609"/>
      <c r="D3" s="609"/>
      <c r="E3" s="609"/>
      <c r="F3" s="609"/>
      <c r="G3" s="609"/>
      <c r="H3" s="609"/>
      <c r="I3" s="609"/>
      <c r="J3" s="609"/>
      <c r="K3" s="609"/>
      <c r="L3" s="609"/>
      <c r="M3" s="609"/>
      <c r="N3" s="609"/>
      <c r="O3" s="609"/>
      <c r="P3" s="609"/>
      <c r="Q3" s="200"/>
      <c r="R3" s="322"/>
    </row>
    <row r="4" spans="1:18" s="322" customFormat="1" ht="16">
      <c r="A4" s="616" t="str">
        <f>'Rate Change Calc'!A4:E4</f>
        <v>Proposed Effective May 1, 2016</v>
      </c>
      <c r="B4" s="616"/>
      <c r="C4" s="616"/>
      <c r="D4" s="616"/>
      <c r="E4" s="616"/>
      <c r="F4" s="616"/>
      <c r="G4" s="616"/>
      <c r="H4" s="616"/>
      <c r="I4" s="616"/>
      <c r="J4" s="616"/>
      <c r="K4" s="616"/>
      <c r="L4" s="616"/>
      <c r="M4" s="616"/>
      <c r="N4" s="616"/>
      <c r="O4" s="616"/>
      <c r="P4" s="616"/>
      <c r="Q4" s="200"/>
    </row>
    <row r="5" spans="1:18" ht="16">
      <c r="A5" s="199"/>
      <c r="B5" s="199"/>
      <c r="C5" s="199"/>
      <c r="D5" s="199"/>
      <c r="E5" s="199"/>
      <c r="F5" s="199"/>
      <c r="G5" s="199"/>
      <c r="H5" s="199"/>
      <c r="I5" s="199"/>
      <c r="J5" s="199"/>
      <c r="K5" s="199"/>
      <c r="L5" s="199"/>
      <c r="M5" s="199"/>
      <c r="N5" s="199"/>
      <c r="O5" s="199"/>
      <c r="P5" s="199"/>
      <c r="Q5" s="200"/>
      <c r="R5" s="322"/>
    </row>
    <row r="6" spans="1:18">
      <c r="A6" s="201" t="s">
        <v>238</v>
      </c>
      <c r="B6" s="201"/>
      <c r="C6" s="201"/>
      <c r="D6" s="322"/>
      <c r="E6" s="322"/>
      <c r="F6" s="322"/>
      <c r="G6" s="322"/>
      <c r="H6" s="322"/>
      <c r="I6" s="201"/>
      <c r="J6" s="201"/>
      <c r="K6" s="322"/>
      <c r="L6" s="322"/>
      <c r="M6" s="322"/>
      <c r="N6" s="322"/>
      <c r="O6" s="322"/>
      <c r="P6" s="204" t="s">
        <v>239</v>
      </c>
      <c r="Q6" s="202"/>
      <c r="R6" s="322"/>
    </row>
    <row r="7" spans="1:18">
      <c r="A7" s="599" t="s">
        <v>240</v>
      </c>
      <c r="B7" s="221">
        <v>42430</v>
      </c>
      <c r="C7" s="221">
        <f t="shared" ref="C7:D7" si="0">EDATE(B7,1)</f>
        <v>42461</v>
      </c>
      <c r="D7" s="221">
        <f t="shared" si="0"/>
        <v>42491</v>
      </c>
      <c r="E7" s="221">
        <f>EDATE(D7,1)</f>
        <v>42522</v>
      </c>
      <c r="F7" s="221">
        <f t="shared" ref="F7:O7" si="1">EDATE(E7,1)</f>
        <v>42552</v>
      </c>
      <c r="G7" s="221">
        <f t="shared" si="1"/>
        <v>42583</v>
      </c>
      <c r="H7" s="221">
        <f t="shared" si="1"/>
        <v>42614</v>
      </c>
      <c r="I7" s="221">
        <f t="shared" si="1"/>
        <v>42644</v>
      </c>
      <c r="J7" s="221">
        <f t="shared" si="1"/>
        <v>42675</v>
      </c>
      <c r="K7" s="221">
        <f t="shared" si="1"/>
        <v>42705</v>
      </c>
      <c r="L7" s="221">
        <f t="shared" si="1"/>
        <v>42736</v>
      </c>
      <c r="M7" s="221">
        <f t="shared" si="1"/>
        <v>42767</v>
      </c>
      <c r="N7" s="221">
        <f t="shared" si="1"/>
        <v>42795</v>
      </c>
      <c r="O7" s="221">
        <f t="shared" si="1"/>
        <v>42826</v>
      </c>
      <c r="P7" s="599" t="s">
        <v>143</v>
      </c>
      <c r="Q7" s="322"/>
      <c r="R7" s="322"/>
    </row>
    <row r="8" spans="1:18">
      <c r="A8" s="202">
        <v>23</v>
      </c>
      <c r="B8" s="203">
        <f>70642758-860.16</f>
        <v>70641897.840000004</v>
      </c>
      <c r="C8" s="203">
        <f>49478404-860.16</f>
        <v>49477543.840000004</v>
      </c>
      <c r="D8" s="203">
        <f>31257580-860.16</f>
        <v>31256719.84</v>
      </c>
      <c r="E8" s="203">
        <f>20357536-860.16</f>
        <v>20356675.84</v>
      </c>
      <c r="F8" s="203">
        <f>15131262-860.16</f>
        <v>15130401.84</v>
      </c>
      <c r="G8" s="203">
        <f>14452682-860.16</f>
        <v>14451821.84</v>
      </c>
      <c r="H8" s="203">
        <f>19017204-860.16</f>
        <v>19016343.84</v>
      </c>
      <c r="I8" s="203">
        <f>43986619-860.16</f>
        <v>43985758.840000004</v>
      </c>
      <c r="J8" s="203">
        <f>76205224-860.16</f>
        <v>76204363.840000004</v>
      </c>
      <c r="K8" s="203">
        <f>98643458-860.16</f>
        <v>98642597.840000004</v>
      </c>
      <c r="L8" s="203">
        <f>96755621-860.16</f>
        <v>96754760.840000004</v>
      </c>
      <c r="M8" s="203">
        <f>81764935-860.16</f>
        <v>81764074.840000004</v>
      </c>
      <c r="N8" s="203">
        <f>71772578-860.16</f>
        <v>71771717.840000004</v>
      </c>
      <c r="O8" s="203">
        <f>50263518-860.16</f>
        <v>50262657.840000004</v>
      </c>
      <c r="P8" s="204">
        <f>SUM(D8:O8)</f>
        <v>619597895.08000016</v>
      </c>
      <c r="Q8" s="205"/>
      <c r="R8" s="206"/>
    </row>
    <row r="9" spans="1:18">
      <c r="A9" s="202">
        <v>31</v>
      </c>
      <c r="B9" s="203">
        <v>25873946</v>
      </c>
      <c r="C9" s="203">
        <v>18139169</v>
      </c>
      <c r="D9" s="203">
        <v>13000619</v>
      </c>
      <c r="E9" s="203">
        <v>8978810</v>
      </c>
      <c r="F9" s="203">
        <v>7280673</v>
      </c>
      <c r="G9" s="203">
        <v>7769476</v>
      </c>
      <c r="H9" s="203">
        <v>8565814</v>
      </c>
      <c r="I9" s="203">
        <v>15240151</v>
      </c>
      <c r="J9" s="203">
        <v>25665658</v>
      </c>
      <c r="K9" s="203">
        <v>33033126</v>
      </c>
      <c r="L9" s="203">
        <v>32977527</v>
      </c>
      <c r="M9" s="203">
        <v>28465235</v>
      </c>
      <c r="N9" s="203">
        <v>26542054</v>
      </c>
      <c r="O9" s="203">
        <v>18614633</v>
      </c>
      <c r="P9" s="204">
        <f t="shared" ref="P9:P12" si="2">SUM(D9:O9)</f>
        <v>226133776</v>
      </c>
      <c r="Q9" s="205"/>
      <c r="R9" s="206"/>
    </row>
    <row r="10" spans="1:18" s="322" customFormat="1">
      <c r="A10" s="202" t="s">
        <v>241</v>
      </c>
      <c r="B10" s="203">
        <v>2366</v>
      </c>
      <c r="C10" s="203">
        <v>2342</v>
      </c>
      <c r="D10" s="203">
        <v>2328</v>
      </c>
      <c r="E10" s="203">
        <v>2215</v>
      </c>
      <c r="F10" s="203">
        <v>2262</v>
      </c>
      <c r="G10" s="203">
        <v>2168</v>
      </c>
      <c r="H10" s="203">
        <v>2014</v>
      </c>
      <c r="I10" s="203">
        <v>1897</v>
      </c>
      <c r="J10" s="203">
        <v>1983</v>
      </c>
      <c r="K10" s="203">
        <v>2203</v>
      </c>
      <c r="L10" s="203">
        <v>2223</v>
      </c>
      <c r="M10" s="203">
        <v>2199</v>
      </c>
      <c r="N10" s="203">
        <v>2343</v>
      </c>
      <c r="O10" s="203">
        <v>2323</v>
      </c>
      <c r="P10" s="204">
        <f t="shared" si="2"/>
        <v>26158</v>
      </c>
      <c r="Q10" s="205"/>
      <c r="R10" s="206"/>
    </row>
    <row r="11" spans="1:18">
      <c r="A11" s="202">
        <v>41</v>
      </c>
      <c r="B11" s="203">
        <v>6922452</v>
      </c>
      <c r="C11" s="203">
        <v>6345115</v>
      </c>
      <c r="D11" s="203">
        <v>5336305</v>
      </c>
      <c r="E11" s="203">
        <v>4985334</v>
      </c>
      <c r="F11" s="203">
        <v>4367532</v>
      </c>
      <c r="G11" s="203">
        <v>3617190</v>
      </c>
      <c r="H11" s="203">
        <v>4214758</v>
      </c>
      <c r="I11" s="203">
        <v>6211067</v>
      </c>
      <c r="J11" s="203">
        <v>6848946</v>
      </c>
      <c r="K11" s="203">
        <v>8386628</v>
      </c>
      <c r="L11" s="203">
        <v>8116234</v>
      </c>
      <c r="M11" s="203">
        <v>7482565</v>
      </c>
      <c r="N11" s="203">
        <v>6954159</v>
      </c>
      <c r="O11" s="203">
        <v>6393854</v>
      </c>
      <c r="P11" s="204">
        <f t="shared" si="2"/>
        <v>72914572</v>
      </c>
      <c r="Q11" s="205"/>
      <c r="R11" s="206"/>
    </row>
    <row r="12" spans="1:18">
      <c r="A12" s="202" t="s">
        <v>242</v>
      </c>
      <c r="B12" s="203">
        <v>1968973</v>
      </c>
      <c r="C12" s="203">
        <v>1800031</v>
      </c>
      <c r="D12" s="203">
        <v>1716293</v>
      </c>
      <c r="E12" s="203">
        <v>1669645</v>
      </c>
      <c r="F12" s="203">
        <v>1623574</v>
      </c>
      <c r="G12" s="203">
        <v>1616587</v>
      </c>
      <c r="H12" s="203">
        <v>1697597</v>
      </c>
      <c r="I12" s="203">
        <v>1821060</v>
      </c>
      <c r="J12" s="203">
        <v>2040310</v>
      </c>
      <c r="K12" s="203">
        <v>2283417</v>
      </c>
      <c r="L12" s="203">
        <v>2235004</v>
      </c>
      <c r="M12" s="203">
        <v>2182887</v>
      </c>
      <c r="N12" s="203">
        <v>2219575</v>
      </c>
      <c r="O12" s="203">
        <v>2030635</v>
      </c>
      <c r="P12" s="204">
        <f t="shared" si="2"/>
        <v>23136584</v>
      </c>
      <c r="Q12" s="205"/>
      <c r="R12" s="206"/>
    </row>
    <row r="13" spans="1:18">
      <c r="A13" s="202">
        <v>53</v>
      </c>
      <c r="B13" s="203">
        <v>37</v>
      </c>
      <c r="C13" s="203">
        <v>30</v>
      </c>
      <c r="D13" s="203">
        <v>22</v>
      </c>
      <c r="E13" s="203">
        <v>17</v>
      </c>
      <c r="F13" s="203">
        <v>15</v>
      </c>
      <c r="G13" s="203">
        <v>10</v>
      </c>
      <c r="H13" s="203">
        <v>14</v>
      </c>
      <c r="I13" s="203">
        <v>11</v>
      </c>
      <c r="J13" s="203">
        <v>52</v>
      </c>
      <c r="K13" s="203">
        <v>65</v>
      </c>
      <c r="L13" s="203">
        <v>56</v>
      </c>
      <c r="M13" s="203">
        <v>43</v>
      </c>
      <c r="N13" s="203">
        <v>37</v>
      </c>
      <c r="O13" s="203">
        <v>30</v>
      </c>
      <c r="P13" s="204">
        <f>SUM(D13:O13)</f>
        <v>372</v>
      </c>
      <c r="Q13" s="205"/>
      <c r="R13" s="206"/>
    </row>
    <row r="14" spans="1:18" s="322" customFormat="1">
      <c r="A14" s="202">
        <v>85</v>
      </c>
      <c r="B14" s="203">
        <v>1931565</v>
      </c>
      <c r="C14" s="203">
        <v>1636010</v>
      </c>
      <c r="D14" s="203">
        <v>1508263</v>
      </c>
      <c r="E14" s="203">
        <v>1041977</v>
      </c>
      <c r="F14" s="203">
        <v>1059212</v>
      </c>
      <c r="G14" s="203">
        <v>1010329</v>
      </c>
      <c r="H14" s="203">
        <v>1142537</v>
      </c>
      <c r="I14" s="203">
        <v>1550081</v>
      </c>
      <c r="J14" s="203">
        <v>1840428</v>
      </c>
      <c r="K14" s="203">
        <v>2048720</v>
      </c>
      <c r="L14" s="203">
        <v>2355244</v>
      </c>
      <c r="M14" s="203">
        <v>1931133</v>
      </c>
      <c r="N14" s="203">
        <v>1957132</v>
      </c>
      <c r="O14" s="203">
        <v>1655640</v>
      </c>
      <c r="P14" s="204">
        <f t="shared" ref="P14:P19" si="3">SUM(D14:O14)</f>
        <v>19100696</v>
      </c>
      <c r="Q14" s="205"/>
      <c r="R14" s="206"/>
    </row>
    <row r="15" spans="1:18" s="322" customFormat="1">
      <c r="A15" s="202" t="s">
        <v>243</v>
      </c>
      <c r="B15" s="203">
        <v>8025825</v>
      </c>
      <c r="C15" s="203">
        <v>7778826</v>
      </c>
      <c r="D15" s="203">
        <v>7314164</v>
      </c>
      <c r="E15" s="203">
        <v>7190103</v>
      </c>
      <c r="F15" s="203">
        <v>6905157</v>
      </c>
      <c r="G15" s="203">
        <v>7046086</v>
      </c>
      <c r="H15" s="203">
        <v>6821632</v>
      </c>
      <c r="I15" s="203">
        <v>7012644</v>
      </c>
      <c r="J15" s="203">
        <v>7103048</v>
      </c>
      <c r="K15" s="203">
        <v>7302607</v>
      </c>
      <c r="L15" s="203">
        <v>7705254</v>
      </c>
      <c r="M15" s="203">
        <v>7156427</v>
      </c>
      <c r="N15" s="203">
        <v>8008758</v>
      </c>
      <c r="O15" s="203">
        <v>7766204</v>
      </c>
      <c r="P15" s="204">
        <f t="shared" si="3"/>
        <v>87332084</v>
      </c>
      <c r="Q15" s="205"/>
      <c r="R15" s="206"/>
    </row>
    <row r="16" spans="1:18">
      <c r="A16" s="202">
        <v>86</v>
      </c>
      <c r="B16" s="203">
        <v>1260983</v>
      </c>
      <c r="C16" s="203">
        <v>898391</v>
      </c>
      <c r="D16" s="203">
        <v>483191</v>
      </c>
      <c r="E16" s="203">
        <v>524951</v>
      </c>
      <c r="F16" s="203">
        <v>167832</v>
      </c>
      <c r="G16" s="203">
        <v>319678</v>
      </c>
      <c r="H16" s="203">
        <v>370773</v>
      </c>
      <c r="I16" s="203">
        <v>855277</v>
      </c>
      <c r="J16" s="203">
        <v>985130</v>
      </c>
      <c r="K16" s="203">
        <v>1417483</v>
      </c>
      <c r="L16" s="203">
        <v>1279037</v>
      </c>
      <c r="M16" s="203">
        <v>1240597</v>
      </c>
      <c r="N16" s="203">
        <v>1228466</v>
      </c>
      <c r="O16" s="203">
        <v>874413</v>
      </c>
      <c r="P16" s="204">
        <f t="shared" si="3"/>
        <v>9746828</v>
      </c>
      <c r="Q16" s="205"/>
      <c r="R16" s="206"/>
    </row>
    <row r="17" spans="1:18" s="322" customFormat="1">
      <c r="A17" s="202" t="s">
        <v>244</v>
      </c>
      <c r="B17" s="203">
        <v>18948</v>
      </c>
      <c r="C17" s="203">
        <v>27199</v>
      </c>
      <c r="D17" s="203">
        <v>16953</v>
      </c>
      <c r="E17" s="203">
        <v>24000</v>
      </c>
      <c r="F17" s="203">
        <v>10725</v>
      </c>
      <c r="G17" s="203">
        <v>7699</v>
      </c>
      <c r="H17" s="203">
        <v>14283</v>
      </c>
      <c r="I17" s="203">
        <v>9173</v>
      </c>
      <c r="J17" s="203">
        <v>13219</v>
      </c>
      <c r="K17" s="203">
        <v>13893</v>
      </c>
      <c r="L17" s="203">
        <v>16927</v>
      </c>
      <c r="M17" s="203">
        <v>22997</v>
      </c>
      <c r="N17" s="203">
        <v>18931</v>
      </c>
      <c r="O17" s="203">
        <v>27195</v>
      </c>
      <c r="P17" s="204">
        <f t="shared" si="3"/>
        <v>195995</v>
      </c>
      <c r="Q17" s="205"/>
      <c r="R17" s="206"/>
    </row>
    <row r="18" spans="1:18" s="322" customFormat="1">
      <c r="A18" s="202">
        <v>87</v>
      </c>
      <c r="B18" s="203">
        <v>2282920</v>
      </c>
      <c r="C18" s="203">
        <v>2008546</v>
      </c>
      <c r="D18" s="203">
        <v>1775322</v>
      </c>
      <c r="E18" s="203">
        <v>1420930</v>
      </c>
      <c r="F18" s="203">
        <v>1362259</v>
      </c>
      <c r="G18" s="203">
        <v>1226624</v>
      </c>
      <c r="H18" s="203">
        <v>1403926</v>
      </c>
      <c r="I18" s="203">
        <v>1997402</v>
      </c>
      <c r="J18" s="203">
        <v>2351021</v>
      </c>
      <c r="K18" s="203">
        <v>2771335</v>
      </c>
      <c r="L18" s="203">
        <v>2709081</v>
      </c>
      <c r="M18" s="203">
        <v>2396089</v>
      </c>
      <c r="N18" s="203">
        <v>2317781</v>
      </c>
      <c r="O18" s="203">
        <v>2036559</v>
      </c>
      <c r="P18" s="204">
        <f t="shared" si="3"/>
        <v>23768329</v>
      </c>
      <c r="Q18" s="205"/>
      <c r="R18" s="206"/>
    </row>
    <row r="19" spans="1:18" s="322" customFormat="1">
      <c r="A19" s="202" t="s">
        <v>245</v>
      </c>
      <c r="B19" s="203">
        <v>9061101</v>
      </c>
      <c r="C19" s="203">
        <v>7993614</v>
      </c>
      <c r="D19" s="203">
        <v>7967483</v>
      </c>
      <c r="E19" s="203">
        <v>7055329</v>
      </c>
      <c r="F19" s="203">
        <v>7145124</v>
      </c>
      <c r="G19" s="203">
        <v>7552837</v>
      </c>
      <c r="H19" s="203">
        <v>7228419</v>
      </c>
      <c r="I19" s="203">
        <v>7600583</v>
      </c>
      <c r="J19" s="203">
        <v>8168066</v>
      </c>
      <c r="K19" s="203">
        <v>8468859</v>
      </c>
      <c r="L19" s="203">
        <v>9161574</v>
      </c>
      <c r="M19" s="203">
        <v>8156369</v>
      </c>
      <c r="N19" s="203">
        <v>9039560</v>
      </c>
      <c r="O19" s="203">
        <v>7981796</v>
      </c>
      <c r="P19" s="204">
        <f t="shared" si="3"/>
        <v>95525999</v>
      </c>
      <c r="Q19" s="205"/>
      <c r="R19" s="206"/>
    </row>
    <row r="20" spans="1:18">
      <c r="A20" s="322" t="s">
        <v>143</v>
      </c>
      <c r="B20" s="207">
        <f t="shared" ref="B20:C20" si="4">SUM(B8:B19)</f>
        <v>127991013.84</v>
      </c>
      <c r="C20" s="207">
        <f t="shared" si="4"/>
        <v>96106816.840000004</v>
      </c>
      <c r="D20" s="207">
        <f>SUM(D8:D19)</f>
        <v>70377662.840000004</v>
      </c>
      <c r="E20" s="207">
        <f t="shared" ref="E20:P20" si="5">SUM(E8:E19)</f>
        <v>53249986.840000004</v>
      </c>
      <c r="F20" s="207">
        <f t="shared" si="5"/>
        <v>45054766.840000004</v>
      </c>
      <c r="G20" s="207">
        <f t="shared" si="5"/>
        <v>44620505.840000004</v>
      </c>
      <c r="H20" s="207">
        <f t="shared" si="5"/>
        <v>50478110.840000004</v>
      </c>
      <c r="I20" s="207">
        <f t="shared" si="5"/>
        <v>86285104.840000004</v>
      </c>
      <c r="J20" s="207">
        <f t="shared" si="5"/>
        <v>131222224.84</v>
      </c>
      <c r="K20" s="207">
        <f t="shared" si="5"/>
        <v>164370933.84</v>
      </c>
      <c r="L20" s="207">
        <f t="shared" si="5"/>
        <v>163312921.84</v>
      </c>
      <c r="M20" s="207">
        <f t="shared" si="5"/>
        <v>140800615.84</v>
      </c>
      <c r="N20" s="207">
        <f t="shared" si="5"/>
        <v>130060513.84</v>
      </c>
      <c r="O20" s="207">
        <f t="shared" si="5"/>
        <v>97645939.840000004</v>
      </c>
      <c r="P20" s="207">
        <f t="shared" si="5"/>
        <v>1177479288.0800002</v>
      </c>
      <c r="Q20" s="205"/>
      <c r="R20" s="206"/>
    </row>
    <row r="21" spans="1:18">
      <c r="A21" s="202"/>
      <c r="B21" s="202"/>
      <c r="C21" s="202"/>
      <c r="D21" s="203"/>
      <c r="E21" s="203"/>
      <c r="F21" s="203"/>
      <c r="G21" s="203"/>
      <c r="H21" s="203"/>
      <c r="I21" s="203"/>
      <c r="J21" s="203"/>
      <c r="K21" s="203"/>
      <c r="L21" s="203"/>
      <c r="M21" s="203"/>
      <c r="N21" s="203"/>
      <c r="O21" s="203"/>
      <c r="P21" s="204"/>
      <c r="Q21" s="205"/>
      <c r="R21" s="206"/>
    </row>
    <row r="22" spans="1:18">
      <c r="A22" s="306" t="s">
        <v>28</v>
      </c>
      <c r="B22" s="204">
        <f t="shared" ref="B22:O22" si="6">SUM(B8,B13)</f>
        <v>70641934.840000004</v>
      </c>
      <c r="C22" s="204">
        <f t="shared" si="6"/>
        <v>49477573.840000004</v>
      </c>
      <c r="D22" s="204">
        <f t="shared" si="6"/>
        <v>31256741.84</v>
      </c>
      <c r="E22" s="204">
        <f t="shared" si="6"/>
        <v>20356692.84</v>
      </c>
      <c r="F22" s="204">
        <f t="shared" si="6"/>
        <v>15130416.84</v>
      </c>
      <c r="G22" s="204">
        <f t="shared" si="6"/>
        <v>14451831.84</v>
      </c>
      <c r="H22" s="204">
        <f t="shared" si="6"/>
        <v>19016357.84</v>
      </c>
      <c r="I22" s="204">
        <f t="shared" si="6"/>
        <v>43985769.840000004</v>
      </c>
      <c r="J22" s="204">
        <f t="shared" si="6"/>
        <v>76204415.840000004</v>
      </c>
      <c r="K22" s="204">
        <f t="shared" si="6"/>
        <v>98642662.840000004</v>
      </c>
      <c r="L22" s="204">
        <f t="shared" si="6"/>
        <v>96754816.840000004</v>
      </c>
      <c r="M22" s="204">
        <f t="shared" si="6"/>
        <v>81764117.840000004</v>
      </c>
      <c r="N22" s="204">
        <f t="shared" si="6"/>
        <v>71771754.840000004</v>
      </c>
      <c r="O22" s="204">
        <f t="shared" si="6"/>
        <v>50262687.840000004</v>
      </c>
      <c r="P22" s="204">
        <f>SUM(D22:O22)</f>
        <v>619598267.08000016</v>
      </c>
      <c r="Q22" s="205"/>
      <c r="R22" s="206"/>
    </row>
    <row r="23" spans="1:18">
      <c r="A23" s="306" t="s">
        <v>144</v>
      </c>
      <c r="B23" s="204">
        <f>SUM(B9:B12,B16:B17)</f>
        <v>36047668</v>
      </c>
      <c r="C23" s="204">
        <f t="shared" ref="C23:O23" si="7">SUM(C9:C12,C16:C17)</f>
        <v>27212247</v>
      </c>
      <c r="D23" s="204">
        <f t="shared" si="7"/>
        <v>20555689</v>
      </c>
      <c r="E23" s="204">
        <f t="shared" si="7"/>
        <v>16184955</v>
      </c>
      <c r="F23" s="204">
        <f t="shared" si="7"/>
        <v>13452598</v>
      </c>
      <c r="G23" s="204">
        <f t="shared" si="7"/>
        <v>13332798</v>
      </c>
      <c r="H23" s="204">
        <f t="shared" si="7"/>
        <v>14865239</v>
      </c>
      <c r="I23" s="204">
        <f t="shared" si="7"/>
        <v>24138625</v>
      </c>
      <c r="J23" s="204">
        <f t="shared" si="7"/>
        <v>35555246</v>
      </c>
      <c r="K23" s="204">
        <f t="shared" si="7"/>
        <v>45136750</v>
      </c>
      <c r="L23" s="204">
        <f t="shared" si="7"/>
        <v>44626952</v>
      </c>
      <c r="M23" s="204">
        <f t="shared" si="7"/>
        <v>39396480</v>
      </c>
      <c r="N23" s="204">
        <f t="shared" si="7"/>
        <v>36965528</v>
      </c>
      <c r="O23" s="204">
        <f t="shared" si="7"/>
        <v>27943053</v>
      </c>
      <c r="P23" s="204">
        <f>SUM(D23:O23)</f>
        <v>332153913</v>
      </c>
      <c r="Q23" s="208"/>
      <c r="R23" s="206"/>
    </row>
    <row r="24" spans="1:18" s="322" customFormat="1">
      <c r="A24" s="306"/>
      <c r="B24" s="306"/>
      <c r="C24" s="306"/>
      <c r="D24" s="204"/>
      <c r="E24" s="204"/>
      <c r="F24" s="204"/>
      <c r="G24" s="204"/>
      <c r="H24" s="204"/>
      <c r="I24" s="204"/>
      <c r="J24" s="204"/>
      <c r="K24" s="204"/>
      <c r="L24" s="204"/>
      <c r="M24" s="204"/>
      <c r="N24" s="204"/>
      <c r="O24" s="204"/>
      <c r="P24" s="204"/>
      <c r="Q24" s="208"/>
      <c r="R24" s="206"/>
    </row>
    <row r="25" spans="1:18">
      <c r="A25" s="306"/>
      <c r="B25" s="306"/>
      <c r="C25" s="306"/>
      <c r="D25" s="204"/>
      <c r="E25" s="204"/>
      <c r="F25" s="204"/>
      <c r="G25" s="204"/>
      <c r="H25" s="204"/>
      <c r="I25" s="204"/>
      <c r="J25" s="204"/>
      <c r="K25" s="204"/>
      <c r="L25" s="204"/>
      <c r="M25" s="204"/>
      <c r="N25" s="204"/>
      <c r="O25" s="204"/>
      <c r="P25" s="204"/>
      <c r="Q25" s="322"/>
      <c r="R25" s="322"/>
    </row>
    <row r="26" spans="1:18">
      <c r="A26" s="201" t="s">
        <v>246</v>
      </c>
      <c r="B26" s="201"/>
      <c r="C26" s="201"/>
      <c r="D26" s="204"/>
      <c r="E26" s="204"/>
      <c r="F26" s="204"/>
      <c r="G26" s="204"/>
      <c r="H26" s="204"/>
      <c r="I26" s="204"/>
      <c r="J26" s="204"/>
      <c r="K26" s="204"/>
      <c r="L26" s="204"/>
      <c r="M26" s="204"/>
      <c r="N26" s="204"/>
      <c r="O26" s="204"/>
      <c r="P26" s="204" t="str">
        <f>P6</f>
        <v>12ME Apr 2017</v>
      </c>
      <c r="Q26" s="322"/>
      <c r="R26" s="322"/>
    </row>
    <row r="27" spans="1:18">
      <c r="A27" s="599" t="s">
        <v>240</v>
      </c>
      <c r="B27" s="221">
        <f t="shared" ref="B27:O27" si="8">B7</f>
        <v>42430</v>
      </c>
      <c r="C27" s="221">
        <f t="shared" si="8"/>
        <v>42461</v>
      </c>
      <c r="D27" s="221">
        <f t="shared" si="8"/>
        <v>42491</v>
      </c>
      <c r="E27" s="221">
        <f t="shared" si="8"/>
        <v>42522</v>
      </c>
      <c r="F27" s="221">
        <f t="shared" si="8"/>
        <v>42552</v>
      </c>
      <c r="G27" s="221">
        <f t="shared" si="8"/>
        <v>42583</v>
      </c>
      <c r="H27" s="221">
        <f t="shared" si="8"/>
        <v>42614</v>
      </c>
      <c r="I27" s="221">
        <f t="shared" si="8"/>
        <v>42644</v>
      </c>
      <c r="J27" s="221">
        <f t="shared" si="8"/>
        <v>42675</v>
      </c>
      <c r="K27" s="221">
        <f t="shared" si="8"/>
        <v>42705</v>
      </c>
      <c r="L27" s="221">
        <f t="shared" si="8"/>
        <v>42736</v>
      </c>
      <c r="M27" s="221">
        <f t="shared" si="8"/>
        <v>42767</v>
      </c>
      <c r="N27" s="221">
        <f t="shared" si="8"/>
        <v>42795</v>
      </c>
      <c r="O27" s="221">
        <f t="shared" si="8"/>
        <v>42826</v>
      </c>
      <c r="P27" s="209" t="s">
        <v>247</v>
      </c>
      <c r="Q27" s="210"/>
      <c r="R27" s="210"/>
    </row>
    <row r="28" spans="1:18">
      <c r="A28" s="202">
        <v>23</v>
      </c>
      <c r="B28" s="203">
        <v>746205</v>
      </c>
      <c r="C28" s="203">
        <v>746785</v>
      </c>
      <c r="D28" s="452">
        <v>746983</v>
      </c>
      <c r="E28" s="452">
        <v>747111</v>
      </c>
      <c r="F28" s="452">
        <v>746853</v>
      </c>
      <c r="G28" s="452">
        <v>747073</v>
      </c>
      <c r="H28" s="452">
        <v>747770</v>
      </c>
      <c r="I28" s="452">
        <v>749432</v>
      </c>
      <c r="J28" s="452">
        <v>751321</v>
      </c>
      <c r="K28" s="452">
        <v>752984</v>
      </c>
      <c r="L28" s="452">
        <v>754774</v>
      </c>
      <c r="M28" s="452">
        <v>756111</v>
      </c>
      <c r="N28" s="452">
        <v>756919</v>
      </c>
      <c r="O28" s="452">
        <v>757568</v>
      </c>
      <c r="P28" s="211">
        <f>AVERAGE(D28:O28)</f>
        <v>751241.58333333337</v>
      </c>
      <c r="Q28" s="322"/>
      <c r="R28" s="322"/>
    </row>
    <row r="29" spans="1:18">
      <c r="A29" s="202">
        <v>31</v>
      </c>
      <c r="B29" s="203">
        <v>56362</v>
      </c>
      <c r="C29" s="203">
        <v>56359</v>
      </c>
      <c r="D29" s="203">
        <v>56357</v>
      </c>
      <c r="E29" s="203">
        <v>56356</v>
      </c>
      <c r="F29" s="203">
        <v>56355</v>
      </c>
      <c r="G29" s="203">
        <v>56353</v>
      </c>
      <c r="H29" s="203">
        <v>56403</v>
      </c>
      <c r="I29" s="203">
        <v>56533</v>
      </c>
      <c r="J29" s="203">
        <v>56739</v>
      </c>
      <c r="K29" s="203">
        <v>56885</v>
      </c>
      <c r="L29" s="203">
        <v>57035</v>
      </c>
      <c r="M29" s="203">
        <v>57162</v>
      </c>
      <c r="N29" s="203">
        <v>57251</v>
      </c>
      <c r="O29" s="203">
        <v>57274</v>
      </c>
      <c r="P29" s="211">
        <f t="shared" ref="P29:P35" si="9">AVERAGE(D29:O29)</f>
        <v>56725.25</v>
      </c>
      <c r="Q29" s="212"/>
      <c r="R29" s="212"/>
    </row>
    <row r="30" spans="1:18" s="322" customFormat="1">
      <c r="A30" s="202" t="s">
        <v>241</v>
      </c>
      <c r="B30" s="203">
        <v>1</v>
      </c>
      <c r="C30" s="203">
        <v>1</v>
      </c>
      <c r="D30" s="203">
        <v>1</v>
      </c>
      <c r="E30" s="203">
        <v>1</v>
      </c>
      <c r="F30" s="203">
        <v>1</v>
      </c>
      <c r="G30" s="203">
        <v>1</v>
      </c>
      <c r="H30" s="203">
        <v>1</v>
      </c>
      <c r="I30" s="203">
        <v>1</v>
      </c>
      <c r="J30" s="203">
        <v>1</v>
      </c>
      <c r="K30" s="203">
        <v>1</v>
      </c>
      <c r="L30" s="203">
        <v>1</v>
      </c>
      <c r="M30" s="203">
        <v>1</v>
      </c>
      <c r="N30" s="203">
        <v>1</v>
      </c>
      <c r="O30" s="203">
        <v>1</v>
      </c>
      <c r="P30" s="211">
        <f t="shared" si="9"/>
        <v>1</v>
      </c>
      <c r="Q30" s="212"/>
      <c r="R30" s="212"/>
    </row>
    <row r="31" spans="1:18">
      <c r="A31" s="202">
        <v>41</v>
      </c>
      <c r="B31" s="203">
        <v>1314</v>
      </c>
      <c r="C31" s="203">
        <v>1310</v>
      </c>
      <c r="D31" s="203">
        <v>1306</v>
      </c>
      <c r="E31" s="203">
        <v>1302</v>
      </c>
      <c r="F31" s="203">
        <v>1298</v>
      </c>
      <c r="G31" s="203">
        <v>1295</v>
      </c>
      <c r="H31" s="203">
        <v>1293</v>
      </c>
      <c r="I31" s="203">
        <v>1287</v>
      </c>
      <c r="J31" s="203">
        <v>1283</v>
      </c>
      <c r="K31" s="203">
        <v>1278</v>
      </c>
      <c r="L31" s="203">
        <v>1273</v>
      </c>
      <c r="M31" s="203">
        <v>1269</v>
      </c>
      <c r="N31" s="203">
        <v>1263</v>
      </c>
      <c r="O31" s="203">
        <v>1259</v>
      </c>
      <c r="P31" s="211">
        <f t="shared" si="9"/>
        <v>1283.8333333333333</v>
      </c>
      <c r="Q31" s="213"/>
      <c r="R31" s="213"/>
    </row>
    <row r="32" spans="1:18">
      <c r="A32" s="202" t="s">
        <v>242</v>
      </c>
      <c r="B32" s="203">
        <v>95</v>
      </c>
      <c r="C32" s="203">
        <v>95</v>
      </c>
      <c r="D32" s="203">
        <v>96</v>
      </c>
      <c r="E32" s="203">
        <v>96</v>
      </c>
      <c r="F32" s="203">
        <v>96</v>
      </c>
      <c r="G32" s="203">
        <v>97</v>
      </c>
      <c r="H32" s="203">
        <v>98</v>
      </c>
      <c r="I32" s="203">
        <v>98</v>
      </c>
      <c r="J32" s="203">
        <v>98</v>
      </c>
      <c r="K32" s="203">
        <v>98</v>
      </c>
      <c r="L32" s="203">
        <v>99</v>
      </c>
      <c r="M32" s="203">
        <v>99</v>
      </c>
      <c r="N32" s="203">
        <v>100</v>
      </c>
      <c r="O32" s="203">
        <v>100</v>
      </c>
      <c r="P32" s="211">
        <f t="shared" si="9"/>
        <v>97.916666666666671</v>
      </c>
      <c r="Q32" s="213"/>
      <c r="R32" s="213"/>
    </row>
    <row r="33" spans="1:18">
      <c r="A33" s="202">
        <v>53</v>
      </c>
      <c r="B33" s="203">
        <v>1</v>
      </c>
      <c r="C33" s="203">
        <v>1</v>
      </c>
      <c r="D33" s="203">
        <v>1</v>
      </c>
      <c r="E33" s="203">
        <v>1</v>
      </c>
      <c r="F33" s="203">
        <v>1</v>
      </c>
      <c r="G33" s="203">
        <v>1</v>
      </c>
      <c r="H33" s="203">
        <v>1</v>
      </c>
      <c r="I33" s="203">
        <v>1</v>
      </c>
      <c r="J33" s="203">
        <v>1</v>
      </c>
      <c r="K33" s="203">
        <v>1</v>
      </c>
      <c r="L33" s="203">
        <v>1</v>
      </c>
      <c r="M33" s="203">
        <v>1</v>
      </c>
      <c r="N33" s="203">
        <v>1</v>
      </c>
      <c r="O33" s="203">
        <v>1</v>
      </c>
      <c r="P33" s="211">
        <f t="shared" si="9"/>
        <v>1</v>
      </c>
      <c r="Q33" s="213"/>
      <c r="R33" s="213"/>
    </row>
    <row r="34" spans="1:18">
      <c r="A34" s="202">
        <v>86</v>
      </c>
      <c r="B34" s="203">
        <v>256</v>
      </c>
      <c r="C34" s="203">
        <v>255</v>
      </c>
      <c r="D34" s="203">
        <v>254</v>
      </c>
      <c r="E34" s="203">
        <v>253</v>
      </c>
      <c r="F34" s="203">
        <v>252</v>
      </c>
      <c r="G34" s="203">
        <v>251</v>
      </c>
      <c r="H34" s="203">
        <v>250</v>
      </c>
      <c r="I34" s="203">
        <v>249</v>
      </c>
      <c r="J34" s="203">
        <v>249</v>
      </c>
      <c r="K34" s="203">
        <v>248</v>
      </c>
      <c r="L34" s="203">
        <v>247</v>
      </c>
      <c r="M34" s="203">
        <v>246</v>
      </c>
      <c r="N34" s="203">
        <v>245</v>
      </c>
      <c r="O34" s="203">
        <v>244</v>
      </c>
      <c r="P34" s="211">
        <f t="shared" si="9"/>
        <v>249</v>
      </c>
      <c r="Q34" s="213"/>
      <c r="R34" s="213"/>
    </row>
    <row r="35" spans="1:18" s="322" customFormat="1">
      <c r="A35" s="202" t="s">
        <v>244</v>
      </c>
      <c r="B35" s="203">
        <v>2</v>
      </c>
      <c r="C35" s="203">
        <v>2</v>
      </c>
      <c r="D35" s="203">
        <v>2</v>
      </c>
      <c r="E35" s="203">
        <v>2</v>
      </c>
      <c r="F35" s="203">
        <v>2</v>
      </c>
      <c r="G35" s="203">
        <v>2</v>
      </c>
      <c r="H35" s="203">
        <v>2</v>
      </c>
      <c r="I35" s="203">
        <v>2</v>
      </c>
      <c r="J35" s="203">
        <v>2</v>
      </c>
      <c r="K35" s="203">
        <v>2</v>
      </c>
      <c r="L35" s="203">
        <v>2</v>
      </c>
      <c r="M35" s="203">
        <v>2</v>
      </c>
      <c r="N35" s="203">
        <v>2</v>
      </c>
      <c r="O35" s="203">
        <v>2</v>
      </c>
      <c r="P35" s="211">
        <f t="shared" si="9"/>
        <v>2</v>
      </c>
      <c r="Q35" s="213"/>
      <c r="R35" s="213"/>
    </row>
    <row r="36" spans="1:18">
      <c r="A36" s="306"/>
      <c r="B36" s="306"/>
      <c r="C36" s="306"/>
      <c r="D36" s="204"/>
      <c r="E36" s="204"/>
      <c r="F36" s="204"/>
      <c r="G36" s="204"/>
      <c r="H36" s="204"/>
      <c r="I36" s="204"/>
      <c r="J36" s="204"/>
      <c r="K36" s="204"/>
      <c r="L36" s="204"/>
      <c r="M36" s="204"/>
      <c r="N36" s="204"/>
      <c r="O36" s="204"/>
      <c r="P36" s="211"/>
      <c r="Q36" s="213"/>
      <c r="R36" s="213"/>
    </row>
    <row r="37" spans="1:18">
      <c r="A37" s="306" t="s">
        <v>28</v>
      </c>
      <c r="B37" s="204">
        <f t="shared" ref="B37:O37" si="10">SUM(B28,B33)</f>
        <v>746206</v>
      </c>
      <c r="C37" s="204">
        <f t="shared" si="10"/>
        <v>746786</v>
      </c>
      <c r="D37" s="204">
        <f t="shared" si="10"/>
        <v>746984</v>
      </c>
      <c r="E37" s="204">
        <f t="shared" si="10"/>
        <v>747112</v>
      </c>
      <c r="F37" s="204">
        <f t="shared" si="10"/>
        <v>746854</v>
      </c>
      <c r="G37" s="204">
        <f t="shared" si="10"/>
        <v>747074</v>
      </c>
      <c r="H37" s="204">
        <f t="shared" si="10"/>
        <v>747771</v>
      </c>
      <c r="I37" s="204">
        <f t="shared" si="10"/>
        <v>749433</v>
      </c>
      <c r="J37" s="204">
        <f t="shared" si="10"/>
        <v>751322</v>
      </c>
      <c r="K37" s="204">
        <f t="shared" si="10"/>
        <v>752985</v>
      </c>
      <c r="L37" s="204">
        <f t="shared" si="10"/>
        <v>754775</v>
      </c>
      <c r="M37" s="204">
        <f t="shared" si="10"/>
        <v>756112</v>
      </c>
      <c r="N37" s="204">
        <f t="shared" si="10"/>
        <v>756920</v>
      </c>
      <c r="O37" s="204">
        <f t="shared" si="10"/>
        <v>757569</v>
      </c>
      <c r="P37" s="211">
        <f t="shared" ref="P37" si="11">AVERAGE(D37:O37)</f>
        <v>751242.58333333337</v>
      </c>
      <c r="Q37" s="208"/>
      <c r="R37" s="208"/>
    </row>
    <row r="38" spans="1:18">
      <c r="A38" s="306" t="s">
        <v>144</v>
      </c>
      <c r="B38" s="204">
        <f t="shared" ref="B38:O38" si="12">SUM(B29:B32,B34:B35)</f>
        <v>58030</v>
      </c>
      <c r="C38" s="204">
        <f t="shared" si="12"/>
        <v>58022</v>
      </c>
      <c r="D38" s="204">
        <f t="shared" si="12"/>
        <v>58016</v>
      </c>
      <c r="E38" s="204">
        <f t="shared" si="12"/>
        <v>58010</v>
      </c>
      <c r="F38" s="204">
        <f t="shared" si="12"/>
        <v>58004</v>
      </c>
      <c r="G38" s="204">
        <f t="shared" si="12"/>
        <v>57999</v>
      </c>
      <c r="H38" s="204">
        <f t="shared" si="12"/>
        <v>58047</v>
      </c>
      <c r="I38" s="204">
        <f t="shared" si="12"/>
        <v>58170</v>
      </c>
      <c r="J38" s="204">
        <f t="shared" si="12"/>
        <v>58372</v>
      </c>
      <c r="K38" s="204">
        <f t="shared" si="12"/>
        <v>58512</v>
      </c>
      <c r="L38" s="204">
        <f t="shared" si="12"/>
        <v>58657</v>
      </c>
      <c r="M38" s="204">
        <f t="shared" si="12"/>
        <v>58779</v>
      </c>
      <c r="N38" s="204">
        <f t="shared" si="12"/>
        <v>58862</v>
      </c>
      <c r="O38" s="204">
        <f t="shared" si="12"/>
        <v>58880</v>
      </c>
      <c r="P38" s="211">
        <f>AVERAGE(D38:O38)</f>
        <v>58359</v>
      </c>
      <c r="Q38" s="322"/>
      <c r="R38" s="322"/>
    </row>
    <row r="39" spans="1:18">
      <c r="A39" s="322"/>
      <c r="D39" s="204"/>
      <c r="E39" s="204"/>
      <c r="F39" s="204"/>
      <c r="G39" s="204"/>
      <c r="H39" s="204"/>
      <c r="I39" s="204"/>
      <c r="J39" s="204"/>
      <c r="K39" s="204"/>
      <c r="L39" s="204"/>
      <c r="M39" s="204"/>
      <c r="N39" s="204"/>
      <c r="O39" s="204"/>
      <c r="P39" s="204"/>
      <c r="Q39" s="322"/>
      <c r="R39" s="322"/>
    </row>
    <row r="40" spans="1:18">
      <c r="A40" s="315" t="str">
        <f>'Rate Change Calc'!B54</f>
        <v xml:space="preserve">* Includes Schedules 31, 31T, 41, 41T, 86, &amp; 86T.  </v>
      </c>
      <c r="D40" s="204"/>
      <c r="E40" s="204"/>
      <c r="F40" s="204"/>
      <c r="G40" s="204"/>
      <c r="H40" s="204"/>
      <c r="I40" s="204"/>
      <c r="J40" s="204"/>
      <c r="K40" s="204"/>
      <c r="L40" s="204"/>
      <c r="M40" s="204"/>
      <c r="N40" s="204"/>
      <c r="O40" s="204"/>
      <c r="P40" s="204"/>
      <c r="Q40" s="214"/>
      <c r="R40" s="322"/>
    </row>
    <row r="41" spans="1:18">
      <c r="A41" s="322"/>
      <c r="D41" s="204"/>
      <c r="E41" s="204"/>
      <c r="F41" s="204"/>
      <c r="G41" s="204"/>
      <c r="H41" s="204"/>
      <c r="I41" s="204"/>
      <c r="J41" s="204"/>
      <c r="K41" s="204"/>
      <c r="L41" s="204"/>
      <c r="M41" s="204"/>
      <c r="N41" s="204"/>
      <c r="O41" s="204"/>
      <c r="P41" s="204"/>
      <c r="Q41" s="214"/>
      <c r="R41" s="322"/>
    </row>
    <row r="42" spans="1:18">
      <c r="A42" s="322" t="s">
        <v>248</v>
      </c>
      <c r="D42" s="214"/>
      <c r="E42" s="214"/>
      <c r="F42" s="214"/>
      <c r="G42" s="214"/>
      <c r="H42" s="214"/>
      <c r="I42" s="214"/>
      <c r="J42" s="214"/>
      <c r="K42" s="214"/>
      <c r="L42" s="214"/>
      <c r="M42" s="214"/>
      <c r="N42" s="214"/>
      <c r="O42" s="214"/>
      <c r="P42" s="214"/>
      <c r="Q42" s="214"/>
      <c r="R42" s="322"/>
    </row>
    <row r="45" spans="1:18">
      <c r="A45" s="322"/>
      <c r="D45" s="215"/>
      <c r="E45" s="215"/>
      <c r="F45" s="215"/>
      <c r="G45" s="214"/>
      <c r="H45" s="214"/>
      <c r="I45" s="214"/>
      <c r="J45" s="214"/>
      <c r="K45" s="214"/>
      <c r="L45" s="214"/>
      <c r="M45" s="214"/>
      <c r="N45" s="214"/>
      <c r="O45" s="214"/>
      <c r="P45" s="214"/>
      <c r="Q45" s="214"/>
      <c r="R45" s="322"/>
    </row>
    <row r="48" spans="1:18">
      <c r="A48" s="322"/>
      <c r="D48" s="216"/>
      <c r="E48" s="216"/>
      <c r="F48" s="216"/>
      <c r="G48" s="322"/>
      <c r="H48" s="322"/>
      <c r="I48" s="322"/>
      <c r="J48" s="322"/>
      <c r="K48" s="322"/>
      <c r="L48" s="322"/>
      <c r="M48" s="322"/>
      <c r="N48" s="322"/>
      <c r="O48" s="322"/>
      <c r="P48" s="322"/>
      <c r="Q48" s="322"/>
      <c r="R48" s="322"/>
    </row>
    <row r="49" spans="1:17">
      <c r="A49" s="202"/>
      <c r="B49" s="202"/>
      <c r="C49" s="202"/>
      <c r="D49" s="214"/>
      <c r="E49" s="214"/>
      <c r="F49" s="214"/>
      <c r="G49" s="214"/>
      <c r="H49" s="214"/>
      <c r="I49" s="214"/>
      <c r="J49" s="214"/>
      <c r="K49" s="214"/>
      <c r="L49" s="214"/>
      <c r="M49" s="214"/>
      <c r="N49" s="214"/>
      <c r="O49" s="214"/>
      <c r="P49" s="214"/>
      <c r="Q49" s="214"/>
    </row>
    <row r="50" spans="1:17">
      <c r="A50" s="202"/>
      <c r="B50" s="202"/>
      <c r="C50" s="202"/>
      <c r="D50" s="217"/>
      <c r="E50" s="217"/>
      <c r="F50" s="217"/>
      <c r="G50" s="214"/>
      <c r="H50" s="214"/>
      <c r="I50" s="214"/>
      <c r="J50" s="214"/>
      <c r="K50" s="214"/>
      <c r="L50" s="214"/>
      <c r="M50" s="214"/>
      <c r="N50" s="214"/>
      <c r="O50" s="214"/>
      <c r="P50" s="214"/>
      <c r="Q50" s="214"/>
    </row>
    <row r="51" spans="1:17">
      <c r="A51" s="322"/>
      <c r="D51" s="214"/>
      <c r="E51" s="214"/>
      <c r="F51" s="214"/>
      <c r="G51" s="214"/>
      <c r="H51" s="214"/>
      <c r="I51" s="214"/>
      <c r="J51" s="214"/>
      <c r="K51" s="214"/>
      <c r="L51" s="214"/>
      <c r="M51" s="214"/>
      <c r="N51" s="214"/>
      <c r="O51" s="214"/>
      <c r="P51" s="214"/>
      <c r="Q51" s="214"/>
    </row>
    <row r="52" spans="1:17">
      <c r="A52" s="202"/>
      <c r="B52" s="202"/>
      <c r="C52" s="202"/>
      <c r="D52" s="218"/>
      <c r="E52" s="218"/>
      <c r="F52" s="218"/>
      <c r="G52" s="214"/>
      <c r="H52" s="214"/>
      <c r="I52" s="214"/>
      <c r="J52" s="214"/>
      <c r="K52" s="214"/>
      <c r="L52" s="214"/>
      <c r="M52" s="214"/>
      <c r="N52" s="214"/>
      <c r="O52" s="214"/>
      <c r="P52" s="214"/>
      <c r="Q52" s="214"/>
    </row>
    <row r="53" spans="1:17">
      <c r="A53" s="202"/>
      <c r="B53" s="202"/>
      <c r="C53" s="202"/>
      <c r="D53" s="214"/>
      <c r="E53" s="214"/>
      <c r="F53" s="214"/>
      <c r="G53" s="214"/>
      <c r="H53" s="214"/>
      <c r="I53" s="214"/>
      <c r="J53" s="214"/>
      <c r="K53" s="214"/>
      <c r="L53" s="214"/>
      <c r="M53" s="214"/>
      <c r="N53" s="214"/>
      <c r="O53" s="214"/>
      <c r="P53" s="214"/>
      <c r="Q53" s="214"/>
    </row>
    <row r="54" spans="1:17">
      <c r="A54" s="202"/>
      <c r="B54" s="202"/>
      <c r="C54" s="202"/>
      <c r="D54" s="214"/>
      <c r="E54" s="214"/>
      <c r="F54" s="214"/>
      <c r="G54" s="214"/>
      <c r="H54" s="214"/>
      <c r="I54" s="214"/>
      <c r="J54" s="214"/>
      <c r="K54" s="214"/>
      <c r="L54" s="214"/>
      <c r="M54" s="214"/>
      <c r="N54" s="214"/>
      <c r="O54" s="214"/>
      <c r="P54" s="214"/>
      <c r="Q54" s="214"/>
    </row>
    <row r="55" spans="1:17">
      <c r="A55" s="202"/>
      <c r="B55" s="202"/>
      <c r="C55" s="202"/>
      <c r="D55" s="214"/>
      <c r="E55" s="214"/>
      <c r="F55" s="214"/>
      <c r="G55" s="214"/>
      <c r="H55" s="214"/>
      <c r="I55" s="214"/>
      <c r="J55" s="214"/>
      <c r="K55" s="214"/>
      <c r="L55" s="214"/>
      <c r="M55" s="214"/>
      <c r="N55" s="214"/>
      <c r="O55" s="214"/>
      <c r="P55" s="214"/>
      <c r="Q55" s="214"/>
    </row>
    <row r="56" spans="1:17">
      <c r="A56" s="202"/>
      <c r="B56" s="202"/>
      <c r="C56" s="202"/>
      <c r="D56" s="214"/>
      <c r="E56" s="214"/>
      <c r="F56" s="214"/>
      <c r="G56" s="214"/>
      <c r="H56" s="214"/>
      <c r="I56" s="214"/>
      <c r="J56" s="214"/>
      <c r="K56" s="214"/>
      <c r="L56" s="214"/>
      <c r="M56" s="214"/>
      <c r="N56" s="214"/>
      <c r="O56" s="214"/>
      <c r="P56" s="214"/>
      <c r="Q56" s="214"/>
    </row>
    <row r="57" spans="1:17">
      <c r="A57" s="202"/>
      <c r="B57" s="202"/>
      <c r="C57" s="202"/>
      <c r="D57" s="214"/>
      <c r="E57" s="214"/>
      <c r="F57" s="214"/>
      <c r="G57" s="214"/>
      <c r="H57" s="214"/>
      <c r="I57" s="214"/>
      <c r="J57" s="214"/>
      <c r="K57" s="214"/>
      <c r="L57" s="214"/>
      <c r="M57" s="214"/>
      <c r="N57" s="214"/>
      <c r="O57" s="214"/>
      <c r="P57" s="214"/>
      <c r="Q57" s="214"/>
    </row>
    <row r="58" spans="1:17">
      <c r="A58" s="202"/>
      <c r="B58" s="202"/>
      <c r="C58" s="202"/>
      <c r="D58" s="214"/>
      <c r="E58" s="214"/>
      <c r="F58" s="214"/>
      <c r="G58" s="214"/>
      <c r="H58" s="214"/>
      <c r="I58" s="214"/>
      <c r="J58" s="214"/>
      <c r="K58" s="214"/>
      <c r="L58" s="214"/>
      <c r="M58" s="214"/>
      <c r="N58" s="214"/>
      <c r="O58" s="214"/>
      <c r="P58" s="214"/>
      <c r="Q58" s="214"/>
    </row>
    <row r="59" spans="1:17">
      <c r="A59" s="322"/>
      <c r="D59" s="214"/>
      <c r="E59" s="214"/>
      <c r="F59" s="214"/>
      <c r="G59" s="214"/>
      <c r="H59" s="214"/>
      <c r="I59" s="214"/>
      <c r="J59" s="214"/>
      <c r="K59" s="214"/>
      <c r="L59" s="214"/>
      <c r="M59" s="214"/>
      <c r="N59" s="214"/>
      <c r="O59" s="214"/>
      <c r="P59" s="214"/>
      <c r="Q59" s="214"/>
    </row>
    <row r="61" spans="1:17">
      <c r="A61" s="322"/>
      <c r="D61" s="214"/>
      <c r="E61" s="214"/>
      <c r="F61" s="214"/>
      <c r="G61" s="214"/>
      <c r="H61" s="214"/>
      <c r="I61" s="214"/>
      <c r="J61" s="214"/>
      <c r="K61" s="214"/>
      <c r="L61" s="214"/>
      <c r="M61" s="214"/>
      <c r="N61" s="214"/>
      <c r="O61" s="214"/>
      <c r="P61" s="214"/>
      <c r="Q61" s="214"/>
    </row>
    <row r="62" spans="1:17">
      <c r="A62" s="322"/>
      <c r="D62" s="214"/>
      <c r="E62" s="214"/>
      <c r="F62" s="214"/>
      <c r="G62" s="214"/>
      <c r="H62" s="214"/>
      <c r="I62" s="214"/>
      <c r="J62" s="214"/>
      <c r="K62" s="214"/>
      <c r="L62" s="214"/>
      <c r="M62" s="214"/>
      <c r="N62" s="214"/>
      <c r="O62" s="214"/>
      <c r="P62" s="214"/>
      <c r="Q62" s="214"/>
    </row>
  </sheetData>
  <mergeCells count="4">
    <mergeCell ref="A1:P1"/>
    <mergeCell ref="A2:P2"/>
    <mergeCell ref="A3:P3"/>
    <mergeCell ref="A4:P4"/>
  </mergeCells>
  <printOptions horizontalCentered="1"/>
  <pageMargins left="0.7" right="0.7" top="0.75" bottom="0.75" header="0.3" footer="0.3"/>
  <pageSetup scale="96" fitToWidth="2"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R94"/>
  <sheetViews>
    <sheetView zoomScale="67" workbookViewId="0">
      <selection activeCell="I68" sqref="I68"/>
    </sheetView>
  </sheetViews>
  <sheetFormatPr baseColWidth="10" defaultColWidth="9.1640625" defaultRowHeight="15" customHeight="1"/>
  <cols>
    <col min="1" max="1" width="5.5" style="322" bestFit="1" customWidth="1"/>
    <col min="2" max="2" width="3.33203125" style="322" customWidth="1"/>
    <col min="3" max="3" width="51" style="213" customWidth="1"/>
    <col min="4" max="4" width="9.83203125" style="213" bestFit="1" customWidth="1"/>
    <col min="5" max="5" width="17.33203125" style="213" customWidth="1"/>
    <col min="6" max="6" width="6.1640625" style="322" customWidth="1"/>
    <col min="7" max="8" width="15" style="322" customWidth="1"/>
    <col min="9" max="9" width="6.83203125" style="322" customWidth="1"/>
    <col min="10" max="10" width="12.5" style="322" customWidth="1"/>
    <col min="11" max="16384" width="9.1640625" style="322"/>
  </cols>
  <sheetData>
    <row r="1" spans="1:18" ht="15" customHeight="1">
      <c r="B1" s="609" t="s">
        <v>22</v>
      </c>
      <c r="C1" s="609"/>
      <c r="D1" s="609"/>
      <c r="E1" s="609"/>
      <c r="F1" s="609"/>
      <c r="G1" s="609"/>
      <c r="H1" s="609"/>
      <c r="I1" s="257"/>
      <c r="J1" s="257"/>
      <c r="K1" s="257"/>
      <c r="L1" s="257"/>
      <c r="M1" s="257"/>
      <c r="N1" s="257"/>
      <c r="O1" s="257"/>
    </row>
    <row r="2" spans="1:18" ht="15" customHeight="1">
      <c r="B2" s="616" t="str">
        <f>'Rate Change Calc'!A2</f>
        <v>2016 Gas Decoupling Filing</v>
      </c>
      <c r="C2" s="616"/>
      <c r="D2" s="616"/>
      <c r="E2" s="616"/>
      <c r="F2" s="616"/>
      <c r="G2" s="616"/>
      <c r="H2" s="616"/>
      <c r="I2" s="257"/>
      <c r="J2" s="257"/>
      <c r="K2" s="257"/>
      <c r="L2" s="257"/>
      <c r="M2" s="257"/>
      <c r="N2" s="257"/>
      <c r="O2" s="257"/>
    </row>
    <row r="3" spans="1:18" ht="15" customHeight="1">
      <c r="B3" s="609" t="s">
        <v>249</v>
      </c>
      <c r="C3" s="609"/>
      <c r="D3" s="609"/>
      <c r="E3" s="609"/>
      <c r="F3" s="609"/>
      <c r="G3" s="609"/>
      <c r="H3" s="609"/>
      <c r="I3" s="257"/>
      <c r="J3" s="257"/>
      <c r="K3" s="257"/>
      <c r="L3" s="257"/>
      <c r="M3" s="257"/>
      <c r="N3" s="257"/>
      <c r="O3" s="257"/>
    </row>
    <row r="4" spans="1:18" ht="15" customHeight="1">
      <c r="B4" s="616" t="str">
        <f>'Rate Change Calc'!A4</f>
        <v>Proposed Effective May 1, 2016</v>
      </c>
      <c r="C4" s="616"/>
      <c r="D4" s="616"/>
      <c r="E4" s="616"/>
      <c r="F4" s="616"/>
      <c r="G4" s="616"/>
      <c r="H4" s="616"/>
      <c r="I4" s="226"/>
      <c r="J4" s="226"/>
      <c r="K4" s="226"/>
      <c r="L4" s="226"/>
      <c r="M4" s="226"/>
      <c r="N4" s="226"/>
      <c r="O4" s="226"/>
      <c r="P4" s="201"/>
      <c r="Q4" s="201"/>
      <c r="R4" s="201"/>
    </row>
    <row r="5" spans="1:18" ht="15" customHeight="1">
      <c r="B5" s="595"/>
      <c r="C5" s="595"/>
      <c r="D5" s="595"/>
      <c r="E5" s="595"/>
      <c r="F5" s="595"/>
      <c r="G5" s="595"/>
      <c r="H5" s="595"/>
      <c r="I5" s="226"/>
      <c r="J5" s="226"/>
      <c r="K5" s="226"/>
      <c r="L5" s="226"/>
      <c r="M5" s="226"/>
      <c r="N5" s="226"/>
      <c r="O5" s="226"/>
      <c r="P5" s="201"/>
      <c r="Q5" s="201"/>
      <c r="R5" s="201"/>
    </row>
    <row r="6" spans="1:18" ht="15" customHeight="1">
      <c r="B6" s="366"/>
      <c r="C6" s="366"/>
      <c r="D6" s="366"/>
      <c r="E6" s="423" t="s">
        <v>250</v>
      </c>
      <c r="F6" s="365"/>
      <c r="G6" s="625" t="s">
        <v>251</v>
      </c>
      <c r="H6" s="625"/>
      <c r="I6" s="226"/>
      <c r="J6" s="226"/>
      <c r="K6" s="226"/>
      <c r="L6" s="226"/>
      <c r="M6" s="226"/>
      <c r="N6" s="226"/>
      <c r="O6" s="226"/>
      <c r="P6" s="201"/>
      <c r="Q6" s="201"/>
      <c r="R6" s="201"/>
    </row>
    <row r="7" spans="1:18" ht="15" customHeight="1">
      <c r="A7" s="594" t="s">
        <v>168</v>
      </c>
      <c r="C7" s="423"/>
      <c r="D7" s="423"/>
      <c r="E7" s="423" t="s">
        <v>252</v>
      </c>
      <c r="F7" s="423"/>
      <c r="G7" s="202" t="s">
        <v>253</v>
      </c>
      <c r="I7" s="423"/>
      <c r="J7" s="257"/>
      <c r="K7" s="257"/>
      <c r="L7" s="257"/>
      <c r="M7" s="257"/>
      <c r="N7" s="257"/>
      <c r="O7" s="257"/>
    </row>
    <row r="8" spans="1:18" ht="15" customHeight="1">
      <c r="A8" s="289" t="s">
        <v>172</v>
      </c>
      <c r="B8" s="367"/>
      <c r="C8" s="599"/>
      <c r="D8" s="599" t="s">
        <v>173</v>
      </c>
      <c r="E8" s="599" t="s">
        <v>177</v>
      </c>
      <c r="F8" s="599"/>
      <c r="G8" s="599" t="s">
        <v>254</v>
      </c>
      <c r="H8" s="599" t="s">
        <v>255</v>
      </c>
      <c r="I8" s="423"/>
      <c r="J8" s="599" t="s">
        <v>256</v>
      </c>
      <c r="K8" s="257"/>
      <c r="L8" s="257"/>
      <c r="M8" s="257"/>
      <c r="N8" s="257"/>
      <c r="O8" s="257"/>
    </row>
    <row r="9" spans="1:18" ht="15" customHeight="1">
      <c r="A9" s="170"/>
      <c r="B9" s="213"/>
      <c r="C9" s="423" t="s">
        <v>30</v>
      </c>
      <c r="D9" s="423" t="s">
        <v>31</v>
      </c>
      <c r="E9" s="392" t="s">
        <v>32</v>
      </c>
      <c r="F9" s="392"/>
      <c r="G9" s="392" t="s">
        <v>33</v>
      </c>
      <c r="H9" s="392" t="s">
        <v>145</v>
      </c>
      <c r="I9" s="257"/>
      <c r="J9" s="257"/>
      <c r="K9" s="257"/>
      <c r="L9" s="257"/>
      <c r="M9" s="257"/>
      <c r="N9" s="257"/>
      <c r="O9" s="257"/>
    </row>
    <row r="10" spans="1:18" ht="12.75" customHeight="1">
      <c r="A10" s="392">
        <v>1</v>
      </c>
      <c r="B10" s="21" t="s">
        <v>257</v>
      </c>
      <c r="C10" s="326"/>
      <c r="D10" s="423"/>
      <c r="E10" s="392"/>
      <c r="F10" s="423"/>
      <c r="G10" s="257"/>
      <c r="H10" s="257"/>
      <c r="I10" s="257"/>
      <c r="J10" s="257"/>
      <c r="K10" s="257"/>
      <c r="L10" s="257"/>
      <c r="M10" s="257"/>
      <c r="N10" s="257"/>
      <c r="O10" s="257"/>
    </row>
    <row r="11" spans="1:18" ht="12.75" customHeight="1">
      <c r="A11" s="392">
        <f>A10+1</f>
        <v>2</v>
      </c>
      <c r="B11" s="326"/>
      <c r="C11" s="23" t="s">
        <v>181</v>
      </c>
      <c r="D11" s="213" t="s">
        <v>182</v>
      </c>
      <c r="E11" s="368">
        <f>'Rate Change Calc'!D42</f>
        <v>7.1569999999999995E-2</v>
      </c>
      <c r="F11" s="423"/>
      <c r="G11" s="368">
        <f>ROUND('Rate Change Calc'!D46/'Rate Change Calc'!D36,5)</f>
        <v>3.8800000000000001E-2</v>
      </c>
      <c r="H11" s="420">
        <f>E11-G11</f>
        <v>3.2769999999999994E-2</v>
      </c>
      <c r="I11" s="420"/>
      <c r="J11" s="421">
        <f>SUM(G11:H11)-E11</f>
        <v>0</v>
      </c>
      <c r="K11" s="257"/>
      <c r="L11" s="257"/>
      <c r="M11" s="257"/>
      <c r="N11" s="257"/>
      <c r="O11" s="257"/>
    </row>
    <row r="12" spans="1:18" ht="12.75" customHeight="1">
      <c r="A12" s="392">
        <f t="shared" ref="A12:A75" si="0">A11+1</f>
        <v>3</v>
      </c>
      <c r="B12" s="326"/>
      <c r="C12" s="322"/>
      <c r="E12" s="368"/>
      <c r="F12" s="423"/>
      <c r="G12" s="420"/>
      <c r="H12" s="420"/>
      <c r="I12" s="257"/>
      <c r="J12" s="257"/>
      <c r="K12" s="257"/>
      <c r="L12" s="257"/>
      <c r="M12" s="257"/>
      <c r="N12" s="257"/>
      <c r="O12" s="257"/>
    </row>
    <row r="13" spans="1:18" ht="12.75" customHeight="1">
      <c r="A13" s="392">
        <f t="shared" si="0"/>
        <v>4</v>
      </c>
      <c r="B13" s="11" t="s">
        <v>258</v>
      </c>
      <c r="C13" s="326"/>
      <c r="E13" s="368"/>
      <c r="F13" s="423"/>
      <c r="G13" s="420"/>
      <c r="H13" s="420"/>
      <c r="I13" s="257"/>
      <c r="J13" s="257"/>
      <c r="K13" s="257"/>
      <c r="L13" s="257"/>
      <c r="M13" s="257"/>
      <c r="N13" s="257"/>
      <c r="O13" s="257"/>
    </row>
    <row r="14" spans="1:18" ht="12.75" customHeight="1">
      <c r="A14" s="392">
        <f t="shared" si="0"/>
        <v>5</v>
      </c>
      <c r="C14" s="23" t="s">
        <v>181</v>
      </c>
      <c r="D14" s="213" t="s">
        <v>182</v>
      </c>
      <c r="E14" s="368">
        <f>'Rate Change Calc'!D42</f>
        <v>7.1569999999999995E-2</v>
      </c>
      <c r="F14" s="423"/>
      <c r="G14" s="368">
        <f>ROUND('Rate Change Calc'!D46/'Rate Change Calc'!D36,5)</f>
        <v>3.8800000000000001E-2</v>
      </c>
      <c r="H14" s="420">
        <f>E14-G14</f>
        <v>3.2769999999999994E-2</v>
      </c>
      <c r="I14" s="420"/>
      <c r="J14" s="421">
        <f>SUM(G14:H14)-E14</f>
        <v>0</v>
      </c>
      <c r="K14" s="257"/>
      <c r="L14" s="257"/>
      <c r="M14" s="257"/>
      <c r="N14" s="257"/>
      <c r="O14" s="257"/>
    </row>
    <row r="15" spans="1:18" ht="12.75" customHeight="1">
      <c r="A15" s="392">
        <f t="shared" si="0"/>
        <v>6</v>
      </c>
      <c r="C15" s="322"/>
      <c r="D15" s="423"/>
      <c r="E15" s="368"/>
      <c r="F15" s="423"/>
      <c r="G15" s="420"/>
      <c r="H15" s="420"/>
      <c r="I15" s="257"/>
      <c r="J15" s="257"/>
      <c r="K15" s="257"/>
      <c r="L15" s="257"/>
      <c r="M15" s="257"/>
      <c r="N15" s="257"/>
      <c r="O15" s="257"/>
    </row>
    <row r="16" spans="1:18" ht="12.75" customHeight="1">
      <c r="A16" s="392">
        <f t="shared" si="0"/>
        <v>7</v>
      </c>
      <c r="B16" s="11" t="s">
        <v>180</v>
      </c>
      <c r="C16" s="322"/>
      <c r="D16" s="10"/>
      <c r="E16" s="368"/>
      <c r="G16" s="420"/>
      <c r="H16" s="420"/>
    </row>
    <row r="17" spans="1:10" ht="12.75" customHeight="1">
      <c r="A17" s="392">
        <f t="shared" si="0"/>
        <v>8</v>
      </c>
      <c r="C17" s="213" t="s">
        <v>181</v>
      </c>
      <c r="D17" s="213" t="s">
        <v>182</v>
      </c>
      <c r="E17" s="368">
        <f>'Sch142 NonRes Rate Development'!K10</f>
        <v>4.9260000000000026E-2</v>
      </c>
      <c r="G17" s="368">
        <f>'Sch142 NonRes Amort Rate Dev'!K10</f>
        <v>3.2689999999999997E-2</v>
      </c>
      <c r="H17" s="420">
        <f>E17-G17</f>
        <v>1.6570000000000029E-2</v>
      </c>
      <c r="I17" s="420"/>
      <c r="J17" s="421">
        <f>SUM(G17:H17)-E17</f>
        <v>0</v>
      </c>
    </row>
    <row r="18" spans="1:10" ht="12.75" customHeight="1">
      <c r="A18" s="392">
        <f t="shared" si="0"/>
        <v>9</v>
      </c>
      <c r="E18" s="368"/>
      <c r="G18" s="368"/>
      <c r="H18" s="420"/>
    </row>
    <row r="19" spans="1:10" ht="12.75" customHeight="1">
      <c r="A19" s="392">
        <f t="shared" si="0"/>
        <v>10</v>
      </c>
      <c r="B19" s="11" t="s">
        <v>183</v>
      </c>
      <c r="C19" s="322"/>
      <c r="D19" s="10"/>
      <c r="E19" s="368"/>
      <c r="G19" s="368"/>
      <c r="H19" s="420"/>
    </row>
    <row r="20" spans="1:10" ht="12.75" customHeight="1">
      <c r="A20" s="392">
        <f t="shared" si="0"/>
        <v>11</v>
      </c>
      <c r="B20" s="213"/>
      <c r="C20" s="213" t="s">
        <v>181</v>
      </c>
      <c r="D20" s="213" t="s">
        <v>182</v>
      </c>
      <c r="E20" s="368">
        <f>'Sch142 NonRes Rate Development'!K13</f>
        <v>4.9260000000000026E-2</v>
      </c>
      <c r="G20" s="368">
        <f>'Sch142 NonRes Amort Rate Dev'!K13</f>
        <v>3.2689999999999997E-2</v>
      </c>
      <c r="H20" s="420">
        <f t="shared" ref="H20:H21" si="1">E20-G20</f>
        <v>1.6570000000000029E-2</v>
      </c>
      <c r="I20" s="420"/>
      <c r="J20" s="421">
        <f t="shared" ref="J20:J21" si="2">SUM(G20:H20)-E20</f>
        <v>0</v>
      </c>
    </row>
    <row r="21" spans="1:10" ht="12.75" customHeight="1">
      <c r="A21" s="392">
        <f t="shared" si="0"/>
        <v>12</v>
      </c>
      <c r="B21" s="213"/>
      <c r="C21" s="10" t="s">
        <v>184</v>
      </c>
      <c r="D21" s="213" t="s">
        <v>182</v>
      </c>
      <c r="E21" s="368">
        <f>'Sch142 NonRes Rate Development'!K14</f>
        <v>-8.7000000000000011E-4</v>
      </c>
      <c r="G21" s="368">
        <f>'Sch142 NonRes Amort Rate Dev'!K14</f>
        <v>-5.7000000000000019E-4</v>
      </c>
      <c r="H21" s="420">
        <f t="shared" si="1"/>
        <v>-2.9999999999999992E-4</v>
      </c>
      <c r="I21" s="420"/>
      <c r="J21" s="421">
        <f t="shared" si="2"/>
        <v>0</v>
      </c>
    </row>
    <row r="22" spans="1:10" ht="12.75" customHeight="1">
      <c r="A22" s="392">
        <f t="shared" si="0"/>
        <v>13</v>
      </c>
      <c r="B22" s="213"/>
      <c r="E22" s="368"/>
      <c r="G22" s="420"/>
      <c r="H22" s="420"/>
    </row>
    <row r="23" spans="1:10" ht="12.75" customHeight="1">
      <c r="A23" s="392">
        <f t="shared" si="0"/>
        <v>14</v>
      </c>
      <c r="B23" s="11" t="s">
        <v>185</v>
      </c>
      <c r="C23" s="322"/>
      <c r="D23" s="10"/>
      <c r="E23" s="368"/>
      <c r="G23" s="420"/>
      <c r="H23" s="420"/>
    </row>
    <row r="24" spans="1:10" ht="12.75" customHeight="1">
      <c r="A24" s="392">
        <f t="shared" si="0"/>
        <v>15</v>
      </c>
      <c r="C24" s="213" t="s">
        <v>186</v>
      </c>
      <c r="D24" s="213" t="s">
        <v>182</v>
      </c>
      <c r="E24" s="369">
        <f>'Sch142 NonRes Rate Development'!K17</f>
        <v>0.18000000000000016</v>
      </c>
      <c r="G24" s="369">
        <f>'Sch142 NonRes Amort Rate Dev'!K17</f>
        <v>0.12000000000000011</v>
      </c>
      <c r="H24" s="425">
        <f>E24-G24</f>
        <v>6.0000000000000053E-2</v>
      </c>
      <c r="I24" s="420"/>
      <c r="J24" s="421">
        <f>SUM(G24:H24)-E24</f>
        <v>0</v>
      </c>
    </row>
    <row r="25" spans="1:10" ht="12.75" customHeight="1">
      <c r="A25" s="392">
        <f t="shared" si="0"/>
        <v>16</v>
      </c>
      <c r="E25" s="368"/>
      <c r="G25" s="368"/>
      <c r="H25" s="420"/>
    </row>
    <row r="26" spans="1:10" ht="12.75" customHeight="1">
      <c r="A26" s="392">
        <f t="shared" si="0"/>
        <v>17</v>
      </c>
      <c r="C26" s="213" t="s">
        <v>187</v>
      </c>
      <c r="E26" s="368"/>
      <c r="G26" s="368"/>
      <c r="H26" s="420"/>
    </row>
    <row r="27" spans="1:10" ht="12.75" customHeight="1">
      <c r="A27" s="392">
        <f t="shared" si="0"/>
        <v>18</v>
      </c>
      <c r="C27" s="213" t="s">
        <v>188</v>
      </c>
      <c r="D27" s="213" t="s">
        <v>182</v>
      </c>
      <c r="E27" s="368">
        <f>'Sch142 NonRes Rate Development'!K20</f>
        <v>2.2260000000000002E-2</v>
      </c>
      <c r="G27" s="368">
        <f>'Sch142 NonRes Amort Rate Dev'!K21</f>
        <v>1.4770000000000005E-2</v>
      </c>
      <c r="H27" s="420">
        <f t="shared" ref="H27:H28" si="3">E27-G27</f>
        <v>7.4899999999999967E-3</v>
      </c>
      <c r="I27" s="420"/>
      <c r="J27" s="421">
        <f t="shared" ref="J27:J28" si="4">SUM(G27:H27)-E27</f>
        <v>0</v>
      </c>
    </row>
    <row r="28" spans="1:10" ht="12.75" customHeight="1">
      <c r="A28" s="392">
        <f t="shared" si="0"/>
        <v>19</v>
      </c>
      <c r="C28" s="213" t="s">
        <v>189</v>
      </c>
      <c r="D28" s="213" t="s">
        <v>182</v>
      </c>
      <c r="E28" s="368">
        <f>'Sch142 NonRes Rate Development'!K21</f>
        <v>1.7919999999999991E-2</v>
      </c>
      <c r="G28" s="368">
        <f>'Sch142 NonRes Amort Rate Dev'!K22</f>
        <v>1.1889999999999998E-2</v>
      </c>
      <c r="H28" s="420">
        <f t="shared" si="3"/>
        <v>6.0299999999999937E-3</v>
      </c>
      <c r="I28" s="420"/>
      <c r="J28" s="421">
        <f t="shared" si="4"/>
        <v>0</v>
      </c>
    </row>
    <row r="29" spans="1:10" ht="12.75" customHeight="1">
      <c r="A29" s="392">
        <f t="shared" si="0"/>
        <v>20</v>
      </c>
      <c r="C29" s="10"/>
      <c r="D29" s="10"/>
      <c r="E29" s="368"/>
      <c r="G29" s="420"/>
      <c r="H29" s="420"/>
    </row>
    <row r="30" spans="1:10" ht="12.75" customHeight="1">
      <c r="A30" s="392">
        <f t="shared" si="0"/>
        <v>21</v>
      </c>
      <c r="B30" s="11" t="s">
        <v>190</v>
      </c>
      <c r="C30" s="322"/>
      <c r="D30" s="10"/>
      <c r="E30" s="368"/>
      <c r="G30" s="420"/>
      <c r="H30" s="420"/>
    </row>
    <row r="31" spans="1:10" ht="12.75" customHeight="1">
      <c r="A31" s="392">
        <f t="shared" si="0"/>
        <v>22</v>
      </c>
      <c r="B31" s="213"/>
      <c r="C31" s="213" t="s">
        <v>186</v>
      </c>
      <c r="D31" s="213" t="s">
        <v>182</v>
      </c>
      <c r="E31" s="369">
        <f>'Sch142 NonRes Rate Development'!K24</f>
        <v>0.18000000000000016</v>
      </c>
      <c r="G31" s="369">
        <f>'Sch142 NonRes Amort Rate Dev'!K25</f>
        <v>0.12000000000000011</v>
      </c>
      <c r="H31" s="425">
        <f>E31-G31</f>
        <v>6.0000000000000053E-2</v>
      </c>
      <c r="I31" s="420"/>
      <c r="J31" s="421">
        <f>SUM(G31:H31)-E31</f>
        <v>0</v>
      </c>
    </row>
    <row r="32" spans="1:10" ht="12.75" customHeight="1">
      <c r="A32" s="392">
        <f t="shared" si="0"/>
        <v>23</v>
      </c>
      <c r="B32" s="213"/>
      <c r="E32" s="368"/>
      <c r="G32" s="368"/>
      <c r="H32" s="420"/>
    </row>
    <row r="33" spans="1:10" ht="12.75" customHeight="1">
      <c r="A33" s="392">
        <f t="shared" si="0"/>
        <v>24</v>
      </c>
      <c r="B33" s="213"/>
      <c r="C33" s="213" t="s">
        <v>187</v>
      </c>
      <c r="E33" s="368"/>
      <c r="G33" s="368"/>
      <c r="H33" s="420"/>
    </row>
    <row r="34" spans="1:10" ht="12.75" customHeight="1">
      <c r="A34" s="392">
        <f t="shared" si="0"/>
        <v>25</v>
      </c>
      <c r="B34" s="213"/>
      <c r="C34" s="213" t="s">
        <v>188</v>
      </c>
      <c r="D34" s="213" t="s">
        <v>182</v>
      </c>
      <c r="E34" s="368">
        <f>'Sch142 NonRes Rate Development'!K27</f>
        <v>2.2260000000000002E-2</v>
      </c>
      <c r="G34" s="368">
        <f>'Sch142 NonRes Amort Rate Dev'!K29</f>
        <v>1.4770000000000005E-2</v>
      </c>
      <c r="H34" s="420">
        <f t="shared" ref="H34:H35" si="5">E34-G34</f>
        <v>7.4899999999999967E-3</v>
      </c>
      <c r="I34" s="420"/>
      <c r="J34" s="421">
        <f t="shared" ref="J34:J35" si="6">SUM(G34:H34)-E34</f>
        <v>0</v>
      </c>
    </row>
    <row r="35" spans="1:10" ht="12.75" customHeight="1">
      <c r="A35" s="392">
        <f t="shared" si="0"/>
        <v>26</v>
      </c>
      <c r="B35" s="213"/>
      <c r="C35" s="213" t="s">
        <v>189</v>
      </c>
      <c r="D35" s="213" t="s">
        <v>182</v>
      </c>
      <c r="E35" s="368">
        <f>'Sch142 NonRes Rate Development'!K28</f>
        <v>1.7919999999999991E-2</v>
      </c>
      <c r="G35" s="368">
        <f>'Sch142 NonRes Amort Rate Dev'!K30</f>
        <v>1.1889999999999998E-2</v>
      </c>
      <c r="H35" s="420">
        <f t="shared" si="5"/>
        <v>6.0299999999999937E-3</v>
      </c>
      <c r="I35" s="420"/>
      <c r="J35" s="421">
        <f t="shared" si="6"/>
        <v>0</v>
      </c>
    </row>
    <row r="36" spans="1:10" ht="12.75" customHeight="1">
      <c r="A36" s="392">
        <f t="shared" si="0"/>
        <v>27</v>
      </c>
      <c r="B36" s="213"/>
      <c r="E36" s="368"/>
      <c r="G36" s="368"/>
      <c r="H36" s="420"/>
    </row>
    <row r="37" spans="1:10" ht="12.75" customHeight="1">
      <c r="A37" s="392">
        <f t="shared" si="0"/>
        <v>28</v>
      </c>
      <c r="B37" s="213"/>
      <c r="C37" s="10" t="s">
        <v>184</v>
      </c>
      <c r="D37" s="213" t="s">
        <v>182</v>
      </c>
      <c r="E37" s="368">
        <f>'Sch142 NonRes Rate Development'!K30</f>
        <v>-8.7000000000000011E-4</v>
      </c>
      <c r="G37" s="368">
        <f>'Sch142 NonRes Amort Rate Dev'!K32</f>
        <v>-5.7000000000000019E-4</v>
      </c>
      <c r="H37" s="420">
        <f>E37-G37</f>
        <v>-2.9999999999999992E-4</v>
      </c>
      <c r="I37" s="420"/>
      <c r="J37" s="421">
        <f>SUM(G37:H37)-E37</f>
        <v>0</v>
      </c>
    </row>
    <row r="38" spans="1:10" ht="12.75" customHeight="1">
      <c r="A38" s="392">
        <f t="shared" si="0"/>
        <v>29</v>
      </c>
      <c r="B38" s="213"/>
      <c r="C38" s="10"/>
      <c r="D38" s="10"/>
      <c r="E38" s="368"/>
      <c r="G38" s="420"/>
      <c r="H38" s="420"/>
      <c r="J38" s="421"/>
    </row>
    <row r="39" spans="1:10" ht="12.75" customHeight="1">
      <c r="A39" s="392">
        <f t="shared" si="0"/>
        <v>30</v>
      </c>
      <c r="B39" s="96" t="s">
        <v>259</v>
      </c>
      <c r="C39" s="97"/>
      <c r="D39" s="98"/>
      <c r="E39" s="368"/>
      <c r="G39" s="420"/>
      <c r="H39" s="420"/>
      <c r="J39" s="421"/>
    </row>
    <row r="40" spans="1:10" ht="12.75" customHeight="1">
      <c r="A40" s="392">
        <f t="shared" si="0"/>
        <v>31</v>
      </c>
      <c r="B40" s="96"/>
      <c r="C40" s="97" t="s">
        <v>3</v>
      </c>
      <c r="D40" s="213" t="s">
        <v>260</v>
      </c>
      <c r="E40" s="425">
        <f>G40+H40</f>
        <v>51.01</v>
      </c>
      <c r="G40" s="420"/>
      <c r="H40" s="369">
        <f>'Rate Plan Rates'!G11</f>
        <v>51.01</v>
      </c>
      <c r="J40" s="421">
        <f t="shared" ref="J40:J54" si="7">SUM(G40:H40)-E40</f>
        <v>0</v>
      </c>
    </row>
    <row r="41" spans="1:10" ht="12.75" customHeight="1">
      <c r="A41" s="392">
        <f t="shared" si="0"/>
        <v>32</v>
      </c>
      <c r="B41" s="97"/>
      <c r="C41" s="106" t="s">
        <v>192</v>
      </c>
      <c r="D41" s="213" t="s">
        <v>182</v>
      </c>
      <c r="E41" s="420">
        <f t="shared" ref="E41" si="8">G41+H41</f>
        <v>6.2E-4</v>
      </c>
      <c r="G41" s="429">
        <v>0</v>
      </c>
      <c r="H41" s="368">
        <f>'Rate Plan Rates'!G13</f>
        <v>6.2E-4</v>
      </c>
      <c r="J41" s="421">
        <f t="shared" si="7"/>
        <v>0</v>
      </c>
    </row>
    <row r="42" spans="1:10" ht="12.75" customHeight="1">
      <c r="A42" s="392">
        <f t="shared" si="0"/>
        <v>33</v>
      </c>
      <c r="B42" s="97"/>
      <c r="C42" s="106"/>
      <c r="D42" s="106"/>
      <c r="E42" s="420"/>
      <c r="G42" s="420"/>
      <c r="H42" s="420"/>
      <c r="J42" s="421"/>
    </row>
    <row r="43" spans="1:10" ht="12.75" customHeight="1">
      <c r="A43" s="392">
        <f t="shared" si="0"/>
        <v>34</v>
      </c>
      <c r="B43" s="97"/>
      <c r="C43" s="106" t="s">
        <v>187</v>
      </c>
      <c r="D43" s="106"/>
      <c r="E43" s="420"/>
      <c r="G43" s="420"/>
      <c r="H43" s="420"/>
      <c r="J43" s="421"/>
    </row>
    <row r="44" spans="1:10" ht="12.75" customHeight="1">
      <c r="A44" s="392">
        <f t="shared" si="0"/>
        <v>35</v>
      </c>
      <c r="B44" s="97"/>
      <c r="C44" s="106" t="s">
        <v>261</v>
      </c>
      <c r="D44" s="213" t="s">
        <v>182</v>
      </c>
      <c r="E44" s="420">
        <f t="shared" ref="E44:E46" si="9">G44+H44</f>
        <v>9.2399999999999999E-3</v>
      </c>
      <c r="G44" s="429">
        <v>0</v>
      </c>
      <c r="H44" s="368">
        <f>'Rate Plan Rates'!G16</f>
        <v>9.2399999999999999E-3</v>
      </c>
      <c r="J44" s="421">
        <f t="shared" si="7"/>
        <v>0</v>
      </c>
    </row>
    <row r="45" spans="1:10" ht="12.75" customHeight="1">
      <c r="A45" s="392">
        <f t="shared" si="0"/>
        <v>36</v>
      </c>
      <c r="B45" s="97"/>
      <c r="C45" s="106" t="s">
        <v>262</v>
      </c>
      <c r="D45" s="213" t="s">
        <v>182</v>
      </c>
      <c r="E45" s="420">
        <f t="shared" si="9"/>
        <v>4.5799999999999999E-3</v>
      </c>
      <c r="G45" s="429">
        <v>0</v>
      </c>
      <c r="H45" s="368">
        <f>'Rate Plan Rates'!G17</f>
        <v>4.5799999999999999E-3</v>
      </c>
      <c r="J45" s="421">
        <f t="shared" si="7"/>
        <v>0</v>
      </c>
    </row>
    <row r="46" spans="1:10" ht="12.75" customHeight="1">
      <c r="A46" s="392">
        <f t="shared" si="0"/>
        <v>37</v>
      </c>
      <c r="B46" s="97"/>
      <c r="C46" s="106" t="s">
        <v>263</v>
      </c>
      <c r="D46" s="213" t="s">
        <v>182</v>
      </c>
      <c r="E46" s="420">
        <f t="shared" si="9"/>
        <v>4.3800000000000002E-3</v>
      </c>
      <c r="G46" s="429">
        <v>0</v>
      </c>
      <c r="H46" s="368">
        <f>'Rate Plan Rates'!G18</f>
        <v>4.3800000000000002E-3</v>
      </c>
      <c r="J46" s="421">
        <f t="shared" si="7"/>
        <v>0</v>
      </c>
    </row>
    <row r="47" spans="1:10" ht="12.75" customHeight="1">
      <c r="A47" s="392">
        <f t="shared" si="0"/>
        <v>38</v>
      </c>
      <c r="B47" s="97"/>
      <c r="C47" s="98"/>
      <c r="D47" s="98"/>
      <c r="E47" s="420"/>
      <c r="G47" s="420"/>
      <c r="H47" s="420"/>
      <c r="J47" s="421"/>
    </row>
    <row r="48" spans="1:10" ht="12.75" customHeight="1">
      <c r="A48" s="392">
        <f t="shared" si="0"/>
        <v>39</v>
      </c>
      <c r="B48" s="96" t="s">
        <v>264</v>
      </c>
      <c r="C48" s="97"/>
      <c r="D48" s="98"/>
      <c r="E48" s="420"/>
      <c r="G48" s="420"/>
      <c r="H48" s="420"/>
      <c r="J48" s="421"/>
    </row>
    <row r="49" spans="1:10" ht="12.75" customHeight="1">
      <c r="A49" s="392">
        <f t="shared" si="0"/>
        <v>40</v>
      </c>
      <c r="B49" s="96"/>
      <c r="C49" s="97" t="s">
        <v>3</v>
      </c>
      <c r="D49" s="213" t="s">
        <v>260</v>
      </c>
      <c r="E49" s="425">
        <f t="shared" ref="E49" si="10">G49+H49</f>
        <v>81.62</v>
      </c>
      <c r="G49" s="420"/>
      <c r="H49" s="369">
        <f>'Rate Plan Rates'!G21</f>
        <v>81.62</v>
      </c>
      <c r="J49" s="421">
        <f t="shared" si="7"/>
        <v>0</v>
      </c>
    </row>
    <row r="50" spans="1:10" ht="12.75" customHeight="1">
      <c r="A50" s="392">
        <f t="shared" si="0"/>
        <v>41</v>
      </c>
      <c r="B50" s="97"/>
      <c r="C50" s="106"/>
      <c r="D50" s="106"/>
      <c r="E50" s="420"/>
      <c r="G50" s="368"/>
      <c r="H50" s="420"/>
      <c r="J50" s="421"/>
    </row>
    <row r="51" spans="1:10" ht="12.75" customHeight="1">
      <c r="A51" s="392">
        <f t="shared" si="0"/>
        <v>42</v>
      </c>
      <c r="B51" s="97"/>
      <c r="C51" s="106" t="s">
        <v>187</v>
      </c>
      <c r="D51" s="106"/>
      <c r="E51" s="420"/>
      <c r="G51" s="368"/>
      <c r="H51" s="420"/>
      <c r="J51" s="421"/>
    </row>
    <row r="52" spans="1:10" ht="12.75" customHeight="1">
      <c r="A52" s="392">
        <f t="shared" si="0"/>
        <v>43</v>
      </c>
      <c r="B52" s="97"/>
      <c r="C52" s="106" t="s">
        <v>261</v>
      </c>
      <c r="D52" s="213" t="s">
        <v>182</v>
      </c>
      <c r="E52" s="420">
        <f t="shared" ref="E52:E54" si="11">G52+H52</f>
        <v>9.2399999999999999E-3</v>
      </c>
      <c r="G52" s="429">
        <v>0</v>
      </c>
      <c r="H52" s="368">
        <f>'Rate Plan Rates'!G25</f>
        <v>9.2399999999999999E-3</v>
      </c>
      <c r="J52" s="421">
        <f t="shared" si="7"/>
        <v>0</v>
      </c>
    </row>
    <row r="53" spans="1:10" ht="12.75" customHeight="1">
      <c r="A53" s="392">
        <f t="shared" si="0"/>
        <v>44</v>
      </c>
      <c r="B53" s="97"/>
      <c r="C53" s="106" t="s">
        <v>262</v>
      </c>
      <c r="D53" s="213" t="s">
        <v>182</v>
      </c>
      <c r="E53" s="420">
        <f t="shared" si="11"/>
        <v>4.5799999999999999E-3</v>
      </c>
      <c r="G53" s="429">
        <v>0</v>
      </c>
      <c r="H53" s="368">
        <f>'Rate Plan Rates'!G26</f>
        <v>4.5799999999999999E-3</v>
      </c>
      <c r="J53" s="421">
        <f t="shared" si="7"/>
        <v>0</v>
      </c>
    </row>
    <row r="54" spans="1:10" ht="12.75" customHeight="1">
      <c r="A54" s="392">
        <f t="shared" si="0"/>
        <v>45</v>
      </c>
      <c r="B54" s="97"/>
      <c r="C54" s="106" t="s">
        <v>265</v>
      </c>
      <c r="D54" s="213" t="s">
        <v>182</v>
      </c>
      <c r="E54" s="420">
        <f t="shared" si="11"/>
        <v>4.3800000000000002E-3</v>
      </c>
      <c r="G54" s="429">
        <v>0</v>
      </c>
      <c r="H54" s="368">
        <f>'Rate Plan Rates'!G27</f>
        <v>4.3800000000000002E-3</v>
      </c>
      <c r="J54" s="421">
        <f t="shared" si="7"/>
        <v>0</v>
      </c>
    </row>
    <row r="55" spans="1:10" ht="12.75" customHeight="1">
      <c r="A55" s="392">
        <f t="shared" si="0"/>
        <v>46</v>
      </c>
      <c r="B55" s="213"/>
      <c r="C55" s="10"/>
      <c r="D55" s="10"/>
      <c r="E55" s="368"/>
      <c r="G55" s="420"/>
      <c r="H55" s="420"/>
    </row>
    <row r="56" spans="1:10" ht="12.75" customHeight="1">
      <c r="A56" s="392">
        <f t="shared" si="0"/>
        <v>47</v>
      </c>
      <c r="B56" s="11" t="s">
        <v>191</v>
      </c>
      <c r="C56" s="322"/>
      <c r="D56" s="10"/>
      <c r="E56" s="368"/>
      <c r="G56" s="420"/>
      <c r="H56" s="420"/>
    </row>
    <row r="57" spans="1:10" ht="12.75" customHeight="1">
      <c r="A57" s="392">
        <f t="shared" si="0"/>
        <v>48</v>
      </c>
      <c r="C57" s="213" t="s">
        <v>186</v>
      </c>
      <c r="D57" s="213" t="s">
        <v>182</v>
      </c>
      <c r="E57" s="369">
        <f>'Sch142 NonRes Rate Development'!K33</f>
        <v>0.18000000000000016</v>
      </c>
      <c r="G57" s="369">
        <f>'Sch142 NonRes Amort Rate Dev'!K35</f>
        <v>0.12000000000000011</v>
      </c>
      <c r="H57" s="425">
        <f t="shared" ref="H57:H58" si="12">E57-G57</f>
        <v>6.0000000000000053E-2</v>
      </c>
      <c r="I57" s="420"/>
      <c r="J57" s="421">
        <f t="shared" ref="J57:J58" si="13">SUM(G57:H57)-E57</f>
        <v>0</v>
      </c>
    </row>
    <row r="58" spans="1:10" ht="12.75" customHeight="1">
      <c r="A58" s="392">
        <f t="shared" si="0"/>
        <v>49</v>
      </c>
      <c r="C58" s="213" t="s">
        <v>192</v>
      </c>
      <c r="D58" s="213" t="s">
        <v>182</v>
      </c>
      <c r="E58" s="368">
        <f>'Sch142 NonRes Rate Development'!K34</f>
        <v>1.1000000000000003E-3</v>
      </c>
      <c r="G58" s="368">
        <f>'Sch142 NonRes Amort Rate Dev'!K36</f>
        <v>7.3000000000000061E-4</v>
      </c>
      <c r="H58" s="420">
        <f t="shared" si="12"/>
        <v>3.6999999999999967E-4</v>
      </c>
      <c r="I58" s="420"/>
      <c r="J58" s="421">
        <f t="shared" si="13"/>
        <v>0</v>
      </c>
    </row>
    <row r="59" spans="1:10" ht="12.75" customHeight="1">
      <c r="A59" s="392">
        <f t="shared" si="0"/>
        <v>50</v>
      </c>
      <c r="E59" s="368"/>
      <c r="G59" s="368"/>
      <c r="H59" s="420"/>
    </row>
    <row r="60" spans="1:10" ht="12.75" customHeight="1">
      <c r="A60" s="392">
        <f t="shared" si="0"/>
        <v>51</v>
      </c>
      <c r="C60" s="213" t="s">
        <v>187</v>
      </c>
      <c r="E60" s="368"/>
      <c r="G60" s="368"/>
      <c r="H60" s="420"/>
      <c r="J60" s="421">
        <f t="shared" ref="J60:J62" si="14">SUM(G60:H60)-E60</f>
        <v>0</v>
      </c>
    </row>
    <row r="61" spans="1:10" ht="12.75" customHeight="1">
      <c r="A61" s="392">
        <f t="shared" si="0"/>
        <v>52</v>
      </c>
      <c r="C61" s="213" t="s">
        <v>193</v>
      </c>
      <c r="D61" s="213" t="s">
        <v>182</v>
      </c>
      <c r="E61" s="368">
        <f>'Sch142 NonRes Rate Development'!K37</f>
        <v>3.2030000000000003E-2</v>
      </c>
      <c r="G61" s="368">
        <f>'Sch142 NonRes Amort Rate Dev'!K39</f>
        <v>2.1260000000000001E-2</v>
      </c>
      <c r="H61" s="420">
        <f t="shared" ref="H61:H62" si="15">E61-G61</f>
        <v>1.0770000000000002E-2</v>
      </c>
      <c r="I61" s="420"/>
      <c r="J61" s="421">
        <f t="shared" si="14"/>
        <v>0</v>
      </c>
    </row>
    <row r="62" spans="1:10" ht="12.75" customHeight="1">
      <c r="A62" s="392">
        <f t="shared" si="0"/>
        <v>53</v>
      </c>
      <c r="C62" s="213" t="s">
        <v>194</v>
      </c>
      <c r="D62" s="213" t="s">
        <v>182</v>
      </c>
      <c r="E62" s="368">
        <f>'Sch142 NonRes Rate Development'!K38</f>
        <v>2.2710000000000008E-2</v>
      </c>
      <c r="G62" s="368">
        <f>'Sch142 NonRes Amort Rate Dev'!K40</f>
        <v>1.507E-2</v>
      </c>
      <c r="H62" s="420">
        <f t="shared" si="15"/>
        <v>7.6400000000000079E-3</v>
      </c>
      <c r="I62" s="420"/>
      <c r="J62" s="421">
        <f t="shared" si="14"/>
        <v>0</v>
      </c>
    </row>
    <row r="63" spans="1:10" ht="12.75" customHeight="1">
      <c r="A63" s="392">
        <f t="shared" si="0"/>
        <v>54</v>
      </c>
      <c r="C63" s="10"/>
      <c r="D63" s="10"/>
      <c r="E63" s="368"/>
      <c r="G63" s="420"/>
      <c r="H63" s="420"/>
    </row>
    <row r="64" spans="1:10" ht="12.75" customHeight="1">
      <c r="A64" s="392">
        <f t="shared" si="0"/>
        <v>55</v>
      </c>
      <c r="B64" s="11" t="s">
        <v>195</v>
      </c>
      <c r="C64" s="322"/>
      <c r="D64" s="10"/>
      <c r="E64" s="368"/>
      <c r="G64" s="420"/>
      <c r="H64" s="420"/>
    </row>
    <row r="65" spans="1:10" ht="12.75" customHeight="1">
      <c r="A65" s="392">
        <f t="shared" si="0"/>
        <v>56</v>
      </c>
      <c r="B65" s="213"/>
      <c r="C65" s="213" t="s">
        <v>186</v>
      </c>
      <c r="D65" s="213" t="s">
        <v>182</v>
      </c>
      <c r="E65" s="369">
        <f>'Sch142 NonRes Rate Development'!K41</f>
        <v>0.18000000000000016</v>
      </c>
      <c r="G65" s="369">
        <f>'Sch142 NonRes Amort Rate Dev'!K43</f>
        <v>0.12000000000000011</v>
      </c>
      <c r="H65" s="425">
        <f>E65-G65</f>
        <v>6.0000000000000053E-2</v>
      </c>
      <c r="I65" s="420"/>
      <c r="J65" s="421">
        <f>SUM(G65:H65)-E65</f>
        <v>0</v>
      </c>
    </row>
    <row r="66" spans="1:10" ht="12.75" customHeight="1">
      <c r="A66" s="392">
        <f t="shared" si="0"/>
        <v>57</v>
      </c>
      <c r="B66" s="213"/>
      <c r="E66" s="368"/>
      <c r="G66" s="368"/>
      <c r="H66" s="420"/>
    </row>
    <row r="67" spans="1:10" ht="12.75" customHeight="1">
      <c r="A67" s="392">
        <f t="shared" si="0"/>
        <v>58</v>
      </c>
      <c r="B67" s="213"/>
      <c r="C67" s="213" t="s">
        <v>187</v>
      </c>
      <c r="E67" s="368"/>
      <c r="G67" s="368"/>
      <c r="H67" s="420"/>
    </row>
    <row r="68" spans="1:10" ht="12.75" customHeight="1">
      <c r="A68" s="392">
        <f t="shared" si="0"/>
        <v>59</v>
      </c>
      <c r="B68" s="213"/>
      <c r="C68" s="213" t="s">
        <v>193</v>
      </c>
      <c r="D68" s="213" t="s">
        <v>182</v>
      </c>
      <c r="E68" s="368">
        <f>'Sch142 NonRes Rate Development'!K44</f>
        <v>3.2030000000000003E-2</v>
      </c>
      <c r="G68" s="368">
        <f>'Sch142 NonRes Amort Rate Dev'!K46</f>
        <v>2.1260000000000001E-2</v>
      </c>
      <c r="H68" s="420">
        <f t="shared" ref="H68:H69" si="16">E68-G68</f>
        <v>1.0770000000000002E-2</v>
      </c>
      <c r="I68" s="420"/>
      <c r="J68" s="421">
        <f t="shared" ref="J68" si="17">SUM(G68:H68)-E68</f>
        <v>0</v>
      </c>
    </row>
    <row r="69" spans="1:10" ht="12.75" customHeight="1">
      <c r="A69" s="392">
        <f t="shared" si="0"/>
        <v>60</v>
      </c>
      <c r="B69" s="213"/>
      <c r="C69" s="213" t="s">
        <v>194</v>
      </c>
      <c r="D69" s="213" t="s">
        <v>182</v>
      </c>
      <c r="E69" s="368">
        <f>'Sch142 NonRes Rate Development'!K45</f>
        <v>2.2710000000000008E-2</v>
      </c>
      <c r="G69" s="368">
        <f>'Sch142 NonRes Amort Rate Dev'!K47</f>
        <v>1.507E-2</v>
      </c>
      <c r="H69" s="420">
        <f t="shared" si="16"/>
        <v>7.6400000000000079E-3</v>
      </c>
      <c r="I69" s="420"/>
      <c r="J69" s="421">
        <f>SUM(G69:H69)-E69</f>
        <v>0</v>
      </c>
    </row>
    <row r="70" spans="1:10" ht="12.75" customHeight="1">
      <c r="A70" s="392">
        <f t="shared" si="0"/>
        <v>61</v>
      </c>
    </row>
    <row r="71" spans="1:10" ht="12.75" customHeight="1">
      <c r="A71" s="392">
        <f t="shared" si="0"/>
        <v>62</v>
      </c>
      <c r="B71" s="96" t="s">
        <v>266</v>
      </c>
      <c r="C71" s="97"/>
      <c r="D71" s="98"/>
    </row>
    <row r="72" spans="1:10" ht="12.75" customHeight="1">
      <c r="A72" s="392">
        <f t="shared" si="0"/>
        <v>63</v>
      </c>
      <c r="B72" s="96"/>
      <c r="C72" s="97" t="s">
        <v>3</v>
      </c>
      <c r="D72" s="213" t="s">
        <v>260</v>
      </c>
      <c r="E72" s="425">
        <f>G72+H72</f>
        <v>52.37</v>
      </c>
      <c r="H72" s="431">
        <f>'Rate Plan Rates'!G30</f>
        <v>52.37</v>
      </c>
    </row>
    <row r="73" spans="1:10" ht="12.75" customHeight="1">
      <c r="A73" s="392">
        <f t="shared" si="0"/>
        <v>64</v>
      </c>
      <c r="B73" s="97"/>
      <c r="C73" s="106" t="s">
        <v>192</v>
      </c>
      <c r="D73" s="213" t="s">
        <v>182</v>
      </c>
      <c r="E73" s="420">
        <f t="shared" ref="E73" si="18">G73+H73</f>
        <v>4.8999999999999998E-4</v>
      </c>
      <c r="G73" s="459">
        <v>0</v>
      </c>
      <c r="H73" s="432">
        <f>'Rate Plan Rates'!G32</f>
        <v>4.8999999999999998E-4</v>
      </c>
      <c r="J73" s="421">
        <f t="shared" ref="J73" si="19">SUM(G73:H73)-E73</f>
        <v>0</v>
      </c>
    </row>
    <row r="74" spans="1:10" ht="12.75" customHeight="1">
      <c r="A74" s="392">
        <f t="shared" si="0"/>
        <v>65</v>
      </c>
      <c r="B74" s="97"/>
      <c r="C74" s="106"/>
      <c r="D74" s="106"/>
      <c r="E74" s="420"/>
      <c r="G74" s="432"/>
      <c r="H74" s="420"/>
    </row>
    <row r="75" spans="1:10" ht="12.75" customHeight="1">
      <c r="A75" s="392">
        <f t="shared" si="0"/>
        <v>66</v>
      </c>
      <c r="B75" s="97"/>
      <c r="C75" s="106" t="s">
        <v>187</v>
      </c>
      <c r="D75" s="106"/>
      <c r="E75" s="420"/>
      <c r="G75" s="432"/>
      <c r="H75" s="420"/>
    </row>
    <row r="76" spans="1:10" ht="12.75" customHeight="1">
      <c r="A76" s="392">
        <f t="shared" ref="A76:A94" si="20">A75+1</f>
        <v>67</v>
      </c>
      <c r="B76" s="97"/>
      <c r="C76" s="106" t="s">
        <v>261</v>
      </c>
      <c r="D76" s="213" t="s">
        <v>182</v>
      </c>
      <c r="E76" s="420">
        <f t="shared" ref="E76:E81" si="21">G76+H76</f>
        <v>1.306E-2</v>
      </c>
      <c r="G76" s="459">
        <v>0</v>
      </c>
      <c r="H76" s="368">
        <f>'Rate Plan Rates'!G35</f>
        <v>1.306E-2</v>
      </c>
      <c r="J76" s="421">
        <f t="shared" ref="J76:J81" si="22">SUM(G76:H76)-E76</f>
        <v>0</v>
      </c>
    </row>
    <row r="77" spans="1:10" ht="12.75" customHeight="1">
      <c r="A77" s="392">
        <f t="shared" si="20"/>
        <v>68</v>
      </c>
      <c r="B77" s="97"/>
      <c r="C77" s="106" t="s">
        <v>262</v>
      </c>
      <c r="D77" s="213" t="s">
        <v>182</v>
      </c>
      <c r="E77" s="420">
        <f t="shared" si="21"/>
        <v>7.9000000000000008E-3</v>
      </c>
      <c r="G77" s="459">
        <v>0</v>
      </c>
      <c r="H77" s="368">
        <f>'Rate Plan Rates'!G36</f>
        <v>7.9000000000000008E-3</v>
      </c>
      <c r="J77" s="421">
        <f t="shared" si="22"/>
        <v>0</v>
      </c>
    </row>
    <row r="78" spans="1:10" ht="12.75" customHeight="1">
      <c r="A78" s="392">
        <f t="shared" si="20"/>
        <v>69</v>
      </c>
      <c r="B78" s="97"/>
      <c r="C78" s="106" t="s">
        <v>265</v>
      </c>
      <c r="D78" s="213" t="s">
        <v>182</v>
      </c>
      <c r="E78" s="420">
        <f t="shared" si="21"/>
        <v>5.0299999999999997E-3</v>
      </c>
      <c r="G78" s="459">
        <v>0</v>
      </c>
      <c r="H78" s="368">
        <f>'Rate Plan Rates'!G37</f>
        <v>5.0299999999999997E-3</v>
      </c>
      <c r="J78" s="421">
        <f t="shared" si="22"/>
        <v>0</v>
      </c>
    </row>
    <row r="79" spans="1:10" ht="12.75" customHeight="1">
      <c r="A79" s="392">
        <f t="shared" si="20"/>
        <v>70</v>
      </c>
      <c r="B79" s="97"/>
      <c r="C79" s="106" t="s">
        <v>267</v>
      </c>
      <c r="D79" s="213" t="s">
        <v>182</v>
      </c>
      <c r="E79" s="420">
        <f t="shared" si="21"/>
        <v>3.2200000000000002E-3</v>
      </c>
      <c r="G79" s="459">
        <v>0</v>
      </c>
      <c r="H79" s="368">
        <f>'Rate Plan Rates'!G38</f>
        <v>3.2200000000000002E-3</v>
      </c>
      <c r="J79" s="421">
        <f t="shared" si="22"/>
        <v>0</v>
      </c>
    </row>
    <row r="80" spans="1:10" ht="12.75" customHeight="1">
      <c r="A80" s="392">
        <f t="shared" si="20"/>
        <v>71</v>
      </c>
      <c r="B80" s="97"/>
      <c r="C80" s="106" t="s">
        <v>268</v>
      </c>
      <c r="D80" s="213" t="s">
        <v>182</v>
      </c>
      <c r="E80" s="420">
        <f t="shared" si="21"/>
        <v>2.32E-3</v>
      </c>
      <c r="G80" s="459">
        <v>0</v>
      </c>
      <c r="H80" s="368">
        <f>'Rate Plan Rates'!G39</f>
        <v>2.32E-3</v>
      </c>
      <c r="J80" s="421">
        <f t="shared" si="22"/>
        <v>0</v>
      </c>
    </row>
    <row r="81" spans="1:10" ht="12.75" customHeight="1">
      <c r="A81" s="392">
        <f t="shared" si="20"/>
        <v>72</v>
      </c>
      <c r="B81" s="97"/>
      <c r="C81" s="106" t="s">
        <v>269</v>
      </c>
      <c r="D81" s="213" t="s">
        <v>182</v>
      </c>
      <c r="E81" s="420">
        <f t="shared" si="21"/>
        <v>1.7799999999999999E-3</v>
      </c>
      <c r="G81" s="459">
        <v>0</v>
      </c>
      <c r="H81" s="368">
        <f>'Rate Plan Rates'!G40</f>
        <v>1.7799999999999999E-3</v>
      </c>
      <c r="J81" s="421">
        <f t="shared" si="22"/>
        <v>0</v>
      </c>
    </row>
    <row r="82" spans="1:10" ht="12.75" customHeight="1">
      <c r="A82" s="392">
        <f t="shared" si="20"/>
        <v>73</v>
      </c>
      <c r="B82" s="97"/>
      <c r="C82" s="98"/>
      <c r="D82" s="98"/>
      <c r="E82" s="420"/>
      <c r="G82" s="432"/>
      <c r="H82" s="420"/>
    </row>
    <row r="83" spans="1:10" ht="12.75" customHeight="1">
      <c r="A83" s="392">
        <f t="shared" si="20"/>
        <v>74</v>
      </c>
      <c r="B83" s="96" t="s">
        <v>270</v>
      </c>
      <c r="C83" s="97"/>
      <c r="D83" s="98"/>
      <c r="E83" s="420"/>
      <c r="G83" s="432"/>
      <c r="H83" s="420"/>
    </row>
    <row r="84" spans="1:10" ht="12.75" customHeight="1">
      <c r="A84" s="392">
        <f t="shared" si="20"/>
        <v>75</v>
      </c>
      <c r="B84" s="96"/>
      <c r="C84" s="97" t="s">
        <v>3</v>
      </c>
      <c r="D84" s="213" t="s">
        <v>260</v>
      </c>
      <c r="E84" s="425">
        <f t="shared" ref="E84" si="23">G84+H84</f>
        <v>83.78</v>
      </c>
      <c r="G84" s="432"/>
      <c r="H84" s="369">
        <f>'Rate Plan Rates'!G43</f>
        <v>83.78</v>
      </c>
    </row>
    <row r="85" spans="1:10" ht="12.75" customHeight="1">
      <c r="A85" s="392">
        <f t="shared" si="20"/>
        <v>76</v>
      </c>
      <c r="B85" s="106"/>
      <c r="C85" s="99"/>
      <c r="D85" s="106"/>
      <c r="E85" s="420"/>
      <c r="G85" s="432"/>
      <c r="H85" s="420"/>
    </row>
    <row r="86" spans="1:10" ht="12.75" customHeight="1">
      <c r="A86" s="392">
        <f t="shared" si="20"/>
        <v>77</v>
      </c>
      <c r="B86" s="106"/>
      <c r="C86" s="106" t="s">
        <v>187</v>
      </c>
      <c r="D86" s="106"/>
      <c r="E86" s="420"/>
      <c r="G86" s="432"/>
      <c r="H86" s="420"/>
    </row>
    <row r="87" spans="1:10" ht="12.75" customHeight="1">
      <c r="A87" s="392">
        <f t="shared" si="20"/>
        <v>78</v>
      </c>
      <c r="B87" s="106"/>
      <c r="C87" s="106" t="s">
        <v>261</v>
      </c>
      <c r="D87" s="213" t="s">
        <v>182</v>
      </c>
      <c r="E87" s="420">
        <f t="shared" ref="E87:E92" si="24">G87+H87</f>
        <v>1.306E-2</v>
      </c>
      <c r="G87" s="459">
        <v>0</v>
      </c>
      <c r="H87" s="368">
        <f>'Rate Plan Rates'!G47</f>
        <v>1.306E-2</v>
      </c>
      <c r="J87" s="421">
        <f t="shared" ref="J87:J92" si="25">SUM(G87:H87)-E87</f>
        <v>0</v>
      </c>
    </row>
    <row r="88" spans="1:10" ht="12.75" customHeight="1">
      <c r="A88" s="392">
        <f t="shared" si="20"/>
        <v>79</v>
      </c>
      <c r="B88" s="106"/>
      <c r="C88" s="106" t="s">
        <v>262</v>
      </c>
      <c r="D88" s="213" t="s">
        <v>182</v>
      </c>
      <c r="E88" s="420">
        <f t="shared" si="24"/>
        <v>7.9000000000000008E-3</v>
      </c>
      <c r="G88" s="459">
        <v>0</v>
      </c>
      <c r="H88" s="368">
        <f>'Rate Plan Rates'!G48</f>
        <v>7.9000000000000008E-3</v>
      </c>
      <c r="J88" s="421">
        <f t="shared" si="25"/>
        <v>0</v>
      </c>
    </row>
    <row r="89" spans="1:10" ht="12.75" customHeight="1">
      <c r="A89" s="392">
        <f t="shared" si="20"/>
        <v>80</v>
      </c>
      <c r="B89" s="106"/>
      <c r="C89" s="106" t="s">
        <v>265</v>
      </c>
      <c r="D89" s="213" t="s">
        <v>182</v>
      </c>
      <c r="E89" s="420">
        <f t="shared" si="24"/>
        <v>5.0299999999999997E-3</v>
      </c>
      <c r="G89" s="459">
        <v>0</v>
      </c>
      <c r="H89" s="368">
        <f>'Rate Plan Rates'!G49</f>
        <v>5.0299999999999997E-3</v>
      </c>
      <c r="J89" s="421">
        <f t="shared" si="25"/>
        <v>0</v>
      </c>
    </row>
    <row r="90" spans="1:10" ht="12.75" customHeight="1">
      <c r="A90" s="392">
        <f t="shared" si="20"/>
        <v>81</v>
      </c>
      <c r="B90" s="106"/>
      <c r="C90" s="106" t="s">
        <v>267</v>
      </c>
      <c r="D90" s="213" t="s">
        <v>182</v>
      </c>
      <c r="E90" s="420">
        <f t="shared" si="24"/>
        <v>3.2200000000000002E-3</v>
      </c>
      <c r="G90" s="459">
        <v>0</v>
      </c>
      <c r="H90" s="368">
        <f>'Rate Plan Rates'!G50</f>
        <v>3.2200000000000002E-3</v>
      </c>
      <c r="J90" s="421">
        <f t="shared" si="25"/>
        <v>0</v>
      </c>
    </row>
    <row r="91" spans="1:10" ht="12.75" customHeight="1">
      <c r="A91" s="392">
        <f t="shared" si="20"/>
        <v>82</v>
      </c>
      <c r="B91" s="106"/>
      <c r="C91" s="106" t="s">
        <v>268</v>
      </c>
      <c r="D91" s="213" t="s">
        <v>182</v>
      </c>
      <c r="E91" s="420">
        <f t="shared" si="24"/>
        <v>2.32E-3</v>
      </c>
      <c r="G91" s="459">
        <v>0</v>
      </c>
      <c r="H91" s="368">
        <f>'Rate Plan Rates'!G51</f>
        <v>2.32E-3</v>
      </c>
      <c r="J91" s="421">
        <f t="shared" si="25"/>
        <v>0</v>
      </c>
    </row>
    <row r="92" spans="1:10" ht="12.75" customHeight="1">
      <c r="A92" s="392">
        <f t="shared" si="20"/>
        <v>83</v>
      </c>
      <c r="B92" s="106"/>
      <c r="C92" s="106" t="s">
        <v>269</v>
      </c>
      <c r="D92" s="213" t="s">
        <v>182</v>
      </c>
      <c r="E92" s="420">
        <f t="shared" si="24"/>
        <v>1.7799999999999999E-3</v>
      </c>
      <c r="G92" s="459">
        <v>0</v>
      </c>
      <c r="H92" s="368">
        <f>'Rate Plan Rates'!G52</f>
        <v>1.7799999999999999E-3</v>
      </c>
      <c r="J92" s="421">
        <f t="shared" si="25"/>
        <v>0</v>
      </c>
    </row>
    <row r="93" spans="1:10" ht="15" customHeight="1">
      <c r="A93" s="392">
        <f t="shared" si="20"/>
        <v>84</v>
      </c>
    </row>
    <row r="94" spans="1:10" ht="15" customHeight="1">
      <c r="A94" s="392">
        <f t="shared" si="20"/>
        <v>85</v>
      </c>
      <c r="B94" s="322" t="s">
        <v>271</v>
      </c>
    </row>
  </sheetData>
  <mergeCells count="5">
    <mergeCell ref="G6:H6"/>
    <mergeCell ref="B1:H1"/>
    <mergeCell ref="B2:H2"/>
    <mergeCell ref="B3:H3"/>
    <mergeCell ref="B4:H4"/>
  </mergeCells>
  <printOptions horizontalCentered="1"/>
  <pageMargins left="0.7" right="0.7" top="0.75" bottom="0.75" header="0.3" footer="0.3"/>
  <pageSetup scale="93"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1" manualBreakCount="1">
    <brk id="37"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S145"/>
  <sheetViews>
    <sheetView zoomScale="75" workbookViewId="0">
      <selection activeCell="I68" sqref="I68"/>
    </sheetView>
  </sheetViews>
  <sheetFormatPr baseColWidth="10" defaultColWidth="9.1640625" defaultRowHeight="13"/>
  <cols>
    <col min="1" max="1" width="2.33203125" style="316" customWidth="1"/>
    <col min="2" max="2" width="5.33203125" style="316" customWidth="1"/>
    <col min="3" max="3" width="2.33203125" style="316" customWidth="1"/>
    <col min="4" max="4" width="30.5" style="316" customWidth="1"/>
    <col min="5" max="5" width="11.33203125" style="316" customWidth="1"/>
    <col min="6" max="8" width="13.5" style="316" bestFit="1" customWidth="1"/>
    <col min="9" max="9" width="15.5" style="316" customWidth="1"/>
    <col min="10" max="10" width="15.33203125" style="316" bestFit="1" customWidth="1"/>
    <col min="11" max="11" width="12.83203125" style="316" bestFit="1" customWidth="1"/>
    <col min="12" max="12" width="9" style="316" customWidth="1"/>
    <col min="13" max="14" width="10.5" style="316" customWidth="1"/>
    <col min="15" max="16" width="9.1640625" style="316"/>
    <col min="17" max="18" width="11.33203125" style="316" bestFit="1" customWidth="1"/>
    <col min="19" max="19" width="9.6640625" style="316" bestFit="1" customWidth="1"/>
    <col min="20" max="16384" width="9.1640625" style="316"/>
  </cols>
  <sheetData>
    <row r="1" spans="2:19" ht="12.75" customHeight="1">
      <c r="B1" s="258" t="s">
        <v>22</v>
      </c>
      <c r="C1" s="258"/>
      <c r="D1" s="258"/>
      <c r="E1" s="258"/>
      <c r="F1" s="258"/>
      <c r="G1" s="258"/>
      <c r="H1" s="258"/>
      <c r="I1" s="258"/>
      <c r="J1" s="258"/>
      <c r="K1" s="258"/>
      <c r="L1" s="258"/>
      <c r="M1" s="259"/>
      <c r="N1" s="259"/>
    </row>
    <row r="2" spans="2:19" ht="12.75" customHeight="1">
      <c r="B2" s="619" t="str">
        <f>'Rate Change Calc'!A2</f>
        <v>2016 Gas Decoupling Filing</v>
      </c>
      <c r="C2" s="619"/>
      <c r="D2" s="619"/>
      <c r="E2" s="619"/>
      <c r="F2" s="619"/>
      <c r="G2" s="619"/>
      <c r="H2" s="619"/>
      <c r="I2" s="619"/>
      <c r="J2" s="619"/>
      <c r="K2" s="619"/>
      <c r="L2" s="619"/>
      <c r="M2" s="259"/>
      <c r="N2" s="259"/>
    </row>
    <row r="3" spans="2:19" ht="12.75" customHeight="1">
      <c r="B3" s="626" t="s">
        <v>272</v>
      </c>
      <c r="C3" s="626"/>
      <c r="D3" s="626"/>
      <c r="E3" s="626"/>
      <c r="F3" s="626"/>
      <c r="G3" s="626"/>
      <c r="H3" s="626"/>
      <c r="I3" s="626"/>
      <c r="J3" s="626"/>
      <c r="K3" s="626"/>
      <c r="L3" s="626"/>
      <c r="M3" s="259"/>
      <c r="N3" s="259"/>
    </row>
    <row r="4" spans="2:19" ht="12.75" customHeight="1">
      <c r="B4" s="619" t="str">
        <f>'Rate Change Calc'!A4</f>
        <v>Proposed Effective May 1, 2016</v>
      </c>
      <c r="C4" s="619"/>
      <c r="D4" s="619"/>
      <c r="E4" s="619"/>
      <c r="F4" s="619"/>
      <c r="G4" s="619"/>
      <c r="H4" s="619"/>
      <c r="I4" s="619"/>
      <c r="J4" s="619"/>
      <c r="K4" s="619"/>
      <c r="L4" s="619"/>
      <c r="M4" s="259"/>
      <c r="N4" s="259"/>
    </row>
    <row r="5" spans="2:19" ht="12.75" customHeight="1">
      <c r="B5" s="261"/>
      <c r="C5" s="261"/>
      <c r="D5" s="261"/>
      <c r="E5" s="261"/>
      <c r="F5" s="261"/>
      <c r="G5" s="261"/>
      <c r="H5" s="261"/>
      <c r="I5" s="261"/>
      <c r="J5" s="261"/>
      <c r="K5" s="261"/>
      <c r="L5" s="261"/>
      <c r="M5" s="259"/>
      <c r="N5" s="259"/>
    </row>
    <row r="6" spans="2:19" ht="12.75" customHeight="1">
      <c r="B6" s="261"/>
      <c r="C6" s="261"/>
      <c r="D6" s="261"/>
      <c r="E6" s="261"/>
      <c r="F6" s="392" t="s">
        <v>273</v>
      </c>
      <c r="G6" s="392" t="s">
        <v>273</v>
      </c>
      <c r="H6" s="392" t="s">
        <v>273</v>
      </c>
      <c r="I6" s="261"/>
      <c r="J6" s="261"/>
      <c r="K6" s="598" t="s">
        <v>274</v>
      </c>
      <c r="L6" s="261"/>
      <c r="M6" s="259"/>
      <c r="N6" s="259"/>
    </row>
    <row r="7" spans="2:19" ht="12.75" customHeight="1">
      <c r="E7" s="598"/>
      <c r="F7" s="392" t="s">
        <v>275</v>
      </c>
      <c r="G7" s="392" t="s">
        <v>275</v>
      </c>
      <c r="H7" s="392" t="s">
        <v>275</v>
      </c>
      <c r="I7" s="598" t="s">
        <v>276</v>
      </c>
      <c r="J7" s="262"/>
      <c r="K7" s="392" t="s">
        <v>275</v>
      </c>
      <c r="L7" s="598"/>
    </row>
    <row r="8" spans="2:19" ht="12.75" customHeight="1">
      <c r="B8" s="598" t="s">
        <v>168</v>
      </c>
      <c r="E8" s="598" t="s">
        <v>277</v>
      </c>
      <c r="F8" s="392" t="s">
        <v>278</v>
      </c>
      <c r="G8" s="392" t="s">
        <v>279</v>
      </c>
      <c r="H8" s="392" t="s">
        <v>280</v>
      </c>
      <c r="I8" s="598" t="s">
        <v>281</v>
      </c>
      <c r="J8" s="263" t="s">
        <v>282</v>
      </c>
      <c r="K8" s="598" t="s">
        <v>283</v>
      </c>
      <c r="L8" s="598" t="s">
        <v>284</v>
      </c>
    </row>
    <row r="9" spans="2:19" ht="12.75" customHeight="1">
      <c r="B9" s="600" t="s">
        <v>285</v>
      </c>
      <c r="C9" s="627" t="s">
        <v>286</v>
      </c>
      <c r="D9" s="627"/>
      <c r="E9" s="600" t="s">
        <v>287</v>
      </c>
      <c r="F9" s="264" t="s">
        <v>174</v>
      </c>
      <c r="G9" s="264" t="s">
        <v>174</v>
      </c>
      <c r="H9" s="264" t="s">
        <v>288</v>
      </c>
      <c r="I9" s="600" t="str">
        <f>'Total Rate Impact'!I8</f>
        <v>YE Apr 2017</v>
      </c>
      <c r="J9" s="264" t="s">
        <v>289</v>
      </c>
      <c r="K9" s="600" t="s">
        <v>290</v>
      </c>
      <c r="L9" s="600" t="s">
        <v>288</v>
      </c>
      <c r="M9" s="265"/>
      <c r="N9" s="266"/>
    </row>
    <row r="10" spans="2:19" ht="13.5" customHeight="1">
      <c r="B10" s="265"/>
      <c r="C10" s="262"/>
      <c r="D10" s="262" t="s">
        <v>30</v>
      </c>
      <c r="E10" s="262" t="s">
        <v>31</v>
      </c>
      <c r="F10" s="263" t="s">
        <v>32</v>
      </c>
      <c r="G10" s="263" t="s">
        <v>33</v>
      </c>
      <c r="H10" s="263" t="s">
        <v>145</v>
      </c>
      <c r="I10" s="263" t="s">
        <v>291</v>
      </c>
      <c r="J10" s="263" t="s">
        <v>292</v>
      </c>
      <c r="K10" s="263" t="s">
        <v>293</v>
      </c>
      <c r="L10" s="263" t="s">
        <v>294</v>
      </c>
      <c r="M10" s="265"/>
      <c r="N10" s="266"/>
    </row>
    <row r="11" spans="2:19" ht="12.75" customHeight="1">
      <c r="B11" s="598">
        <v>1</v>
      </c>
      <c r="C11" s="262"/>
      <c r="D11" s="262"/>
      <c r="E11" s="262"/>
      <c r="F11" s="263"/>
      <c r="G11" s="263"/>
      <c r="H11" s="263"/>
      <c r="I11" s="262"/>
      <c r="J11" s="263"/>
      <c r="K11" s="262"/>
      <c r="L11" s="262"/>
      <c r="M11" s="265"/>
      <c r="N11" s="266"/>
    </row>
    <row r="12" spans="2:19" ht="12.75" customHeight="1">
      <c r="B12" s="598">
        <f>B11+1</f>
        <v>2</v>
      </c>
      <c r="C12" s="316" t="s">
        <v>28</v>
      </c>
      <c r="E12" s="598" t="s">
        <v>295</v>
      </c>
      <c r="F12" s="277">
        <v>1.9730000000000001E-2</v>
      </c>
      <c r="G12" s="308">
        <f>'Summary of Rates'!G11</f>
        <v>3.8800000000000001E-2</v>
      </c>
      <c r="H12" s="269">
        <f t="shared" ref="H12:H35" si="0">G12-F12</f>
        <v>1.907E-2</v>
      </c>
      <c r="I12" s="348">
        <f>'Total Rate Impact'!I11</f>
        <v>619608589</v>
      </c>
      <c r="J12" s="358">
        <f>'Rate Impact Rev'!O12</f>
        <v>618702290.63182127</v>
      </c>
      <c r="K12" s="270">
        <f>ROUND(H12*I12,2)</f>
        <v>11815935.789999999</v>
      </c>
      <c r="L12" s="268">
        <f>K12/J12</f>
        <v>1.9097934449108823E-2</v>
      </c>
      <c r="N12" s="266"/>
      <c r="Q12" s="270"/>
      <c r="R12" s="270"/>
      <c r="S12" s="270"/>
    </row>
    <row r="13" spans="2:19" ht="12.75" customHeight="1">
      <c r="B13" s="598">
        <f t="shared" ref="B13:B83" si="1">B12+1</f>
        <v>3</v>
      </c>
      <c r="E13" s="598"/>
      <c r="F13" s="277"/>
      <c r="G13" s="308"/>
      <c r="H13" s="269"/>
      <c r="I13" s="356"/>
      <c r="J13" s="358"/>
      <c r="K13" s="270"/>
      <c r="L13" s="268"/>
      <c r="Q13" s="270"/>
      <c r="R13" s="270"/>
      <c r="S13" s="270"/>
    </row>
    <row r="14" spans="2:19" ht="12.75" customHeight="1">
      <c r="B14" s="598">
        <f t="shared" si="1"/>
        <v>4</v>
      </c>
      <c r="C14" s="316" t="s">
        <v>296</v>
      </c>
      <c r="E14" s="598">
        <v>31</v>
      </c>
      <c r="F14" s="277">
        <v>1.866000000000001E-2</v>
      </c>
      <c r="G14" s="308">
        <f>'Summary of Rates'!G17</f>
        <v>3.2689999999999997E-2</v>
      </c>
      <c r="H14" s="269">
        <f t="shared" si="0"/>
        <v>1.4029999999999987E-2</v>
      </c>
      <c r="I14" s="348">
        <f>'Total Rate Impact'!I13</f>
        <v>226133776</v>
      </c>
      <c r="J14" s="358">
        <f>'Rate Impact Rev'!O14</f>
        <v>197689818.08888403</v>
      </c>
      <c r="K14" s="270">
        <f>ROUND(H14*I14,2)</f>
        <v>3172656.88</v>
      </c>
      <c r="L14" s="268">
        <f>K14/J14</f>
        <v>1.6048661032069596E-2</v>
      </c>
      <c r="N14" s="266"/>
      <c r="Q14" s="270"/>
      <c r="R14" s="270"/>
      <c r="S14" s="270"/>
    </row>
    <row r="15" spans="2:19" ht="12.75" customHeight="1">
      <c r="B15" s="598">
        <f t="shared" si="1"/>
        <v>5</v>
      </c>
      <c r="E15" s="598"/>
      <c r="F15" s="277"/>
      <c r="G15" s="308"/>
      <c r="H15" s="269"/>
      <c r="I15" s="356"/>
      <c r="J15" s="358"/>
      <c r="K15" s="270"/>
      <c r="L15" s="268"/>
      <c r="Q15" s="270"/>
      <c r="R15" s="270"/>
      <c r="S15" s="270"/>
    </row>
    <row r="16" spans="2:19" ht="12.75" customHeight="1">
      <c r="B16" s="598">
        <f t="shared" si="1"/>
        <v>6</v>
      </c>
      <c r="C16" s="316" t="s">
        <v>297</v>
      </c>
      <c r="E16" s="598" t="s">
        <v>241</v>
      </c>
      <c r="F16" s="277"/>
      <c r="G16" s="308"/>
      <c r="H16" s="269"/>
      <c r="I16" s="348"/>
      <c r="J16" s="358"/>
      <c r="K16" s="270"/>
      <c r="L16" s="268"/>
      <c r="Q16" s="270"/>
      <c r="R16" s="270"/>
      <c r="S16" s="270"/>
    </row>
    <row r="17" spans="2:19" ht="12.75" customHeight="1">
      <c r="B17" s="598">
        <f t="shared" si="1"/>
        <v>7</v>
      </c>
      <c r="D17" s="316" t="s">
        <v>181</v>
      </c>
      <c r="E17" s="598"/>
      <c r="F17" s="277">
        <v>1.866E-2</v>
      </c>
      <c r="G17" s="308">
        <f>'Summary of Rates'!G20</f>
        <v>3.2689999999999997E-2</v>
      </c>
      <c r="H17" s="269">
        <f>G17-F17</f>
        <v>1.4029999999999997E-2</v>
      </c>
      <c r="I17" s="466">
        <v>26158</v>
      </c>
      <c r="J17" s="358"/>
      <c r="K17" s="270">
        <f>ROUND(H17*I17,2)</f>
        <v>367</v>
      </c>
      <c r="L17" s="268"/>
      <c r="Q17" s="270"/>
      <c r="R17" s="270"/>
      <c r="S17" s="270"/>
    </row>
    <row r="18" spans="2:19" ht="12.75" customHeight="1">
      <c r="B18" s="598">
        <f t="shared" si="1"/>
        <v>8</v>
      </c>
      <c r="D18" s="316" t="s">
        <v>184</v>
      </c>
      <c r="E18" s="598"/>
      <c r="F18" s="277">
        <v>-3.3E-4</v>
      </c>
      <c r="G18" s="308">
        <f>'Summary of Rates'!G21</f>
        <v>-5.7000000000000019E-4</v>
      </c>
      <c r="H18" s="269">
        <f t="shared" ref="H18" si="2">G18-F18</f>
        <v>-2.400000000000002E-4</v>
      </c>
      <c r="I18" s="467">
        <v>26158</v>
      </c>
      <c r="J18" s="358"/>
      <c r="K18" s="272">
        <f>ROUND(H18*I18,2)</f>
        <v>-6.28</v>
      </c>
      <c r="L18" s="268"/>
      <c r="Q18" s="270"/>
      <c r="R18" s="270"/>
      <c r="S18" s="270"/>
    </row>
    <row r="19" spans="2:19" ht="12.75" customHeight="1">
      <c r="B19" s="598">
        <f t="shared" si="1"/>
        <v>9</v>
      </c>
      <c r="D19" s="316" t="s">
        <v>143</v>
      </c>
      <c r="E19" s="598"/>
      <c r="F19" s="277"/>
      <c r="G19" s="308"/>
      <c r="H19" s="269"/>
      <c r="I19" s="267">
        <f>I17</f>
        <v>26158</v>
      </c>
      <c r="J19" s="358">
        <f>'Rate Impact Rev'!O16</f>
        <v>12436.722595214333</v>
      </c>
      <c r="K19" s="270">
        <f>SUM(K17:K18)</f>
        <v>360.72</v>
      </c>
      <c r="L19" s="268">
        <f>K19/J19</f>
        <v>2.9004425984286694E-2</v>
      </c>
      <c r="Q19" s="270"/>
      <c r="R19" s="270"/>
      <c r="S19" s="270"/>
    </row>
    <row r="20" spans="2:19" ht="12.75" customHeight="1">
      <c r="B20" s="598">
        <f t="shared" si="1"/>
        <v>10</v>
      </c>
      <c r="E20" s="598"/>
      <c r="F20" s="277"/>
      <c r="G20" s="308"/>
      <c r="H20" s="269"/>
      <c r="I20" s="267"/>
      <c r="J20" s="358"/>
      <c r="K20" s="270"/>
      <c r="L20" s="268"/>
      <c r="Q20" s="270"/>
      <c r="R20" s="270"/>
      <c r="S20" s="270"/>
    </row>
    <row r="21" spans="2:19" ht="12.75" customHeight="1">
      <c r="B21" s="598">
        <f t="shared" si="1"/>
        <v>11</v>
      </c>
      <c r="D21" s="316" t="s">
        <v>298</v>
      </c>
      <c r="E21" s="598" t="s">
        <v>299</v>
      </c>
      <c r="F21" s="277"/>
      <c r="G21" s="308"/>
      <c r="H21" s="269"/>
      <c r="I21" s="267">
        <f>I14+I19</f>
        <v>226159934</v>
      </c>
      <c r="J21" s="270">
        <f>J14+J19</f>
        <v>197702254.81147924</v>
      </c>
      <c r="K21" s="270">
        <f>K14+K19</f>
        <v>3173017.6000000001</v>
      </c>
      <c r="L21" s="268">
        <f>K21/J21</f>
        <v>1.6049476031650016E-2</v>
      </c>
      <c r="Q21" s="270"/>
      <c r="R21" s="270"/>
      <c r="S21" s="270"/>
    </row>
    <row r="22" spans="2:19" ht="12.75" customHeight="1">
      <c r="B22" s="598">
        <f t="shared" si="1"/>
        <v>12</v>
      </c>
      <c r="E22" s="598"/>
      <c r="F22" s="277"/>
      <c r="G22" s="308"/>
      <c r="H22" s="269"/>
      <c r="I22" s="356"/>
      <c r="J22" s="358"/>
      <c r="K22" s="270"/>
      <c r="L22" s="268"/>
      <c r="Q22" s="270"/>
      <c r="R22" s="270"/>
      <c r="S22" s="270"/>
    </row>
    <row r="23" spans="2:19" ht="12.75" customHeight="1">
      <c r="B23" s="598">
        <f t="shared" si="1"/>
        <v>13</v>
      </c>
      <c r="C23" s="316" t="s">
        <v>300</v>
      </c>
      <c r="E23" s="598">
        <v>41</v>
      </c>
      <c r="F23" s="277"/>
      <c r="G23" s="308"/>
      <c r="H23" s="269"/>
      <c r="I23" s="348"/>
      <c r="J23" s="358"/>
      <c r="K23" s="270"/>
      <c r="L23" s="268"/>
      <c r="N23" s="266"/>
      <c r="Q23" s="270"/>
      <c r="R23" s="270"/>
      <c r="S23" s="270"/>
    </row>
    <row r="24" spans="2:19" ht="12.75" customHeight="1">
      <c r="B24" s="598">
        <f t="shared" si="1"/>
        <v>14</v>
      </c>
      <c r="D24" s="316" t="s">
        <v>186</v>
      </c>
      <c r="E24" s="598"/>
      <c r="F24" s="426">
        <v>7.0000000000000062E-2</v>
      </c>
      <c r="G24" s="427">
        <f>'Summary of Rates'!G24</f>
        <v>0.12000000000000011</v>
      </c>
      <c r="H24" s="355">
        <f t="shared" si="0"/>
        <v>5.0000000000000044E-2</v>
      </c>
      <c r="I24" s="348">
        <f>'Total Rate Impact'!I23</f>
        <v>3682886</v>
      </c>
      <c r="J24" s="358"/>
      <c r="K24" s="270">
        <f>ROUND(H24*I24,2)</f>
        <v>184144.3</v>
      </c>
      <c r="L24" s="268"/>
      <c r="N24" s="266"/>
      <c r="Q24" s="270"/>
      <c r="R24" s="270"/>
      <c r="S24" s="270"/>
    </row>
    <row r="25" spans="2:19" ht="12.75" customHeight="1">
      <c r="B25" s="598">
        <f t="shared" si="1"/>
        <v>15</v>
      </c>
      <c r="D25" s="316" t="s">
        <v>187</v>
      </c>
      <c r="E25" s="598"/>
      <c r="F25" s="277"/>
      <c r="G25" s="308"/>
      <c r="H25" s="269"/>
      <c r="I25" s="348"/>
      <c r="J25" s="358"/>
      <c r="K25" s="270"/>
      <c r="L25" s="268"/>
      <c r="N25" s="266"/>
      <c r="Q25" s="270"/>
      <c r="R25" s="270"/>
      <c r="S25" s="270"/>
    </row>
    <row r="26" spans="2:19" ht="12.75" customHeight="1">
      <c r="B26" s="598">
        <f t="shared" si="1"/>
        <v>16</v>
      </c>
      <c r="D26" s="316" t="s">
        <v>301</v>
      </c>
      <c r="E26" s="598"/>
      <c r="F26" s="277">
        <v>8.4300000000000208E-3</v>
      </c>
      <c r="G26" s="308">
        <f>'Summary of Rates'!G34</f>
        <v>1.4770000000000005E-2</v>
      </c>
      <c r="H26" s="269">
        <f t="shared" si="0"/>
        <v>6.3399999999999845E-3</v>
      </c>
      <c r="I26" s="348">
        <f>'Total Rate Impact'!I25</f>
        <v>32802787.789709222</v>
      </c>
      <c r="J26" s="358"/>
      <c r="K26" s="270">
        <f>ROUND(H26*I26,2)</f>
        <v>207969.67</v>
      </c>
      <c r="L26" s="268"/>
      <c r="N26" s="266"/>
      <c r="Q26" s="270"/>
      <c r="R26" s="270"/>
      <c r="S26" s="270"/>
    </row>
    <row r="27" spans="2:19" ht="12.75" customHeight="1">
      <c r="B27" s="598">
        <f t="shared" si="1"/>
        <v>17</v>
      </c>
      <c r="D27" s="316" t="s">
        <v>302</v>
      </c>
      <c r="E27" s="598"/>
      <c r="F27" s="277">
        <v>6.7900000000000044E-3</v>
      </c>
      <c r="G27" s="308">
        <f>'Summary of Rates'!G35</f>
        <v>1.1889999999999998E-2</v>
      </c>
      <c r="H27" s="269">
        <f t="shared" si="0"/>
        <v>5.0999999999999934E-3</v>
      </c>
      <c r="I27" s="357">
        <f>'Total Rate Impact'!I26</f>
        <v>23991085.120635759</v>
      </c>
      <c r="J27" s="358"/>
      <c r="K27" s="272">
        <f>ROUND(H27*I27,2)</f>
        <v>122354.53</v>
      </c>
      <c r="L27" s="268"/>
      <c r="N27" s="266"/>
      <c r="Q27" s="270"/>
      <c r="R27" s="270"/>
      <c r="S27" s="270"/>
    </row>
    <row r="28" spans="2:19" ht="12.75" customHeight="1">
      <c r="B28" s="598">
        <f t="shared" si="1"/>
        <v>18</v>
      </c>
      <c r="D28" s="316" t="s">
        <v>143</v>
      </c>
      <c r="E28" s="598"/>
      <c r="F28" s="277"/>
      <c r="G28" s="308"/>
      <c r="H28" s="269"/>
      <c r="I28" s="267">
        <f>SUM(I26:I27)</f>
        <v>56793872.910344981</v>
      </c>
      <c r="J28" s="358">
        <f>'Rate Impact Rev'!O18</f>
        <v>41153356.735245839</v>
      </c>
      <c r="K28" s="270">
        <f>SUM(K24:K27)</f>
        <v>514468.5</v>
      </c>
      <c r="L28" s="268">
        <f t="shared" ref="L28" si="3">K28/J28</f>
        <v>1.2501252408394255E-2</v>
      </c>
      <c r="N28" s="266"/>
      <c r="Q28" s="270"/>
      <c r="R28" s="270"/>
      <c r="S28" s="270"/>
    </row>
    <row r="29" spans="2:19" ht="12.75" customHeight="1">
      <c r="B29" s="598">
        <f t="shared" si="1"/>
        <v>19</v>
      </c>
      <c r="E29" s="598"/>
      <c r="F29" s="277"/>
      <c r="G29" s="308"/>
      <c r="H29" s="269"/>
      <c r="J29" s="358"/>
      <c r="K29" s="270"/>
      <c r="L29" s="268"/>
      <c r="Q29" s="270"/>
      <c r="R29" s="270"/>
      <c r="S29" s="270"/>
    </row>
    <row r="30" spans="2:19" ht="12.75" customHeight="1">
      <c r="B30" s="598">
        <f t="shared" si="1"/>
        <v>20</v>
      </c>
      <c r="C30" s="316" t="s">
        <v>303</v>
      </c>
      <c r="E30" s="598" t="s">
        <v>242</v>
      </c>
      <c r="F30" s="277"/>
      <c r="G30" s="308"/>
      <c r="H30" s="269"/>
      <c r="I30" s="267"/>
      <c r="J30" s="358"/>
      <c r="K30" s="270"/>
      <c r="L30" s="268"/>
      <c r="Q30" s="270"/>
      <c r="R30" s="270"/>
      <c r="S30" s="270"/>
    </row>
    <row r="31" spans="2:19" ht="12.75" customHeight="1">
      <c r="B31" s="598">
        <f t="shared" si="1"/>
        <v>21</v>
      </c>
      <c r="D31" s="316" t="s">
        <v>186</v>
      </c>
      <c r="E31" s="598"/>
      <c r="F31" s="426">
        <v>7.0000000000000062E-2</v>
      </c>
      <c r="G31" s="427">
        <f>'Summary of Rates'!G31</f>
        <v>0.12000000000000011</v>
      </c>
      <c r="H31" s="355">
        <f t="shared" si="0"/>
        <v>5.0000000000000044E-2</v>
      </c>
      <c r="I31" s="348">
        <f>'Total Rate Impact'!I30</f>
        <v>1714678</v>
      </c>
      <c r="J31" s="358"/>
      <c r="K31" s="270">
        <f>ROUND(H31*I31,2)</f>
        <v>85733.9</v>
      </c>
      <c r="L31" s="268"/>
      <c r="Q31" s="270"/>
      <c r="R31" s="270"/>
      <c r="S31" s="270"/>
    </row>
    <row r="32" spans="2:19" ht="12.75" customHeight="1">
      <c r="B32" s="598">
        <f t="shared" si="1"/>
        <v>22</v>
      </c>
      <c r="D32" s="316" t="s">
        <v>184</v>
      </c>
      <c r="E32" s="598"/>
      <c r="F32" s="277">
        <v>-3.2999999999999956E-4</v>
      </c>
      <c r="G32" s="308">
        <f>'Summary of Rates'!G37</f>
        <v>-5.7000000000000019E-4</v>
      </c>
      <c r="H32" s="269">
        <f>G32-F32</f>
        <v>-2.4000000000000063E-4</v>
      </c>
      <c r="I32" s="348">
        <f>'Total Rate Impact'!I31</f>
        <v>23136584</v>
      </c>
      <c r="J32" s="358"/>
      <c r="K32" s="270">
        <f>ROUND(H32*I32,2)</f>
        <v>-5552.78</v>
      </c>
      <c r="L32" s="268"/>
      <c r="Q32" s="270"/>
      <c r="R32" s="270"/>
      <c r="S32" s="270"/>
    </row>
    <row r="33" spans="2:19" ht="12.75" customHeight="1">
      <c r="B33" s="598">
        <f t="shared" si="1"/>
        <v>23</v>
      </c>
      <c r="D33" s="316" t="s">
        <v>187</v>
      </c>
      <c r="E33" s="598"/>
      <c r="F33" s="277"/>
      <c r="G33" s="308"/>
      <c r="H33" s="269"/>
      <c r="I33" s="348"/>
      <c r="J33" s="358"/>
      <c r="K33" s="270"/>
      <c r="L33" s="268"/>
      <c r="Q33" s="270"/>
      <c r="R33" s="270"/>
      <c r="S33" s="270"/>
    </row>
    <row r="34" spans="2:19" ht="12.75" customHeight="1">
      <c r="B34" s="598">
        <f t="shared" si="1"/>
        <v>24</v>
      </c>
      <c r="D34" s="316" t="s">
        <v>301</v>
      </c>
      <c r="E34" s="598"/>
      <c r="F34" s="277">
        <v>8.4300000000000208E-3</v>
      </c>
      <c r="G34" s="308">
        <f>'Summary of Rates'!G34</f>
        <v>1.4770000000000005E-2</v>
      </c>
      <c r="H34" s="269">
        <f t="shared" si="0"/>
        <v>6.3399999999999845E-3</v>
      </c>
      <c r="I34" s="348">
        <f>'Total Rate Impact'!I33</f>
        <v>5355163.5948174866</v>
      </c>
      <c r="J34" s="358"/>
      <c r="K34" s="270">
        <f>ROUND(H34*I34,2)</f>
        <v>33951.74</v>
      </c>
      <c r="L34" s="268"/>
      <c r="Q34" s="270"/>
      <c r="R34" s="270"/>
      <c r="S34" s="270"/>
    </row>
    <row r="35" spans="2:19" ht="12.75" customHeight="1">
      <c r="B35" s="598">
        <f t="shared" si="1"/>
        <v>25</v>
      </c>
      <c r="D35" s="316" t="s">
        <v>302</v>
      </c>
      <c r="E35" s="598"/>
      <c r="F35" s="277">
        <v>6.7900000000000044E-3</v>
      </c>
      <c r="G35" s="308">
        <f>'Summary of Rates'!G35</f>
        <v>1.1889999999999998E-2</v>
      </c>
      <c r="H35" s="269">
        <f t="shared" si="0"/>
        <v>5.0999999999999934E-3</v>
      </c>
      <c r="I35" s="357">
        <f>'Total Rate Impact'!I34</f>
        <v>16354492.827050379</v>
      </c>
      <c r="J35" s="358"/>
      <c r="K35" s="272">
        <f>ROUND(H35*I35,2)</f>
        <v>83407.91</v>
      </c>
      <c r="L35" s="268"/>
      <c r="Q35" s="270"/>
      <c r="R35" s="270"/>
      <c r="S35" s="270"/>
    </row>
    <row r="36" spans="2:19" ht="12.75" customHeight="1">
      <c r="B36" s="598">
        <f t="shared" si="1"/>
        <v>26</v>
      </c>
      <c r="D36" s="316" t="s">
        <v>143</v>
      </c>
      <c r="E36" s="598"/>
      <c r="F36" s="277"/>
      <c r="G36" s="308"/>
      <c r="H36" s="297"/>
      <c r="I36" s="267">
        <f>SUM(I34:I35)</f>
        <v>21709656.421867866</v>
      </c>
      <c r="J36" s="358">
        <f>'Rate Impact Rev'!O19</f>
        <v>5198949.3903032374</v>
      </c>
      <c r="K36" s="270">
        <f>SUM(K31:K35)</f>
        <v>197540.77</v>
      </c>
      <c r="L36" s="268">
        <f>K36/J36</f>
        <v>3.7996286397486569E-2</v>
      </c>
      <c r="Q36" s="270"/>
      <c r="R36" s="270"/>
      <c r="S36" s="270"/>
    </row>
    <row r="37" spans="2:19" ht="12.75" customHeight="1">
      <c r="B37" s="598">
        <f t="shared" si="1"/>
        <v>27</v>
      </c>
      <c r="E37" s="598"/>
      <c r="F37" s="277"/>
      <c r="G37" s="308"/>
      <c r="H37" s="297"/>
      <c r="I37" s="267"/>
      <c r="J37" s="270"/>
      <c r="K37" s="270"/>
      <c r="L37" s="268"/>
      <c r="Q37" s="270"/>
      <c r="R37" s="270"/>
      <c r="S37" s="270"/>
    </row>
    <row r="38" spans="2:19" ht="12.75" customHeight="1">
      <c r="B38" s="598">
        <f t="shared" si="1"/>
        <v>28</v>
      </c>
      <c r="D38" s="316" t="s">
        <v>304</v>
      </c>
      <c r="E38" s="598" t="s">
        <v>305</v>
      </c>
      <c r="F38" s="277"/>
      <c r="G38" s="308"/>
      <c r="H38" s="297"/>
      <c r="I38" s="267">
        <f>I28+I36</f>
        <v>78503529.33221285</v>
      </c>
      <c r="J38" s="270">
        <f t="shared" ref="J38:K38" si="4">J28+J36</f>
        <v>46352306.125549078</v>
      </c>
      <c r="K38" s="270">
        <f t="shared" si="4"/>
        <v>712009.27</v>
      </c>
      <c r="L38" s="268">
        <f>K38/J38</f>
        <v>1.5360816527045356E-2</v>
      </c>
      <c r="Q38" s="270"/>
      <c r="R38" s="270"/>
      <c r="S38" s="270"/>
    </row>
    <row r="39" spans="2:19" ht="12.75" customHeight="1">
      <c r="B39" s="598">
        <f t="shared" si="1"/>
        <v>29</v>
      </c>
      <c r="E39" s="598"/>
      <c r="F39" s="277"/>
      <c r="G39" s="308"/>
      <c r="H39" s="297"/>
      <c r="J39" s="270"/>
      <c r="K39" s="270"/>
      <c r="L39" s="268"/>
      <c r="Q39" s="270"/>
      <c r="R39" s="270"/>
      <c r="S39" s="270"/>
    </row>
    <row r="40" spans="2:19" ht="12.75" customHeight="1">
      <c r="B40" s="598">
        <f t="shared" si="1"/>
        <v>30</v>
      </c>
      <c r="C40" s="316" t="s">
        <v>306</v>
      </c>
      <c r="E40" s="598">
        <v>85</v>
      </c>
      <c r="F40" s="277"/>
      <c r="G40" s="308"/>
      <c r="H40" s="297"/>
      <c r="J40" s="270"/>
      <c r="K40" s="270"/>
      <c r="L40" s="268"/>
      <c r="Q40" s="270"/>
      <c r="R40" s="270"/>
      <c r="S40" s="270"/>
    </row>
    <row r="41" spans="2:19" ht="12.75" customHeight="1">
      <c r="B41" s="598">
        <f t="shared" si="1"/>
        <v>31</v>
      </c>
      <c r="D41" s="316" t="s">
        <v>307</v>
      </c>
      <c r="E41" s="598"/>
      <c r="F41" s="426">
        <v>0</v>
      </c>
      <c r="G41" s="427">
        <f>'Summary of Rates'!G40</f>
        <v>0</v>
      </c>
      <c r="H41" s="297"/>
      <c r="J41" s="270"/>
      <c r="K41" s="270"/>
      <c r="L41" s="268"/>
      <c r="Q41" s="270"/>
      <c r="R41" s="270"/>
      <c r="S41" s="270"/>
    </row>
    <row r="42" spans="2:19" ht="12.75" customHeight="1">
      <c r="B42" s="598">
        <f t="shared" si="1"/>
        <v>32</v>
      </c>
      <c r="D42" s="316" t="s">
        <v>186</v>
      </c>
      <c r="E42" s="598"/>
      <c r="F42" s="426">
        <v>0</v>
      </c>
      <c r="G42" s="426">
        <v>0</v>
      </c>
      <c r="H42" s="269">
        <f t="shared" ref="H42:H47" si="5">G42-F42</f>
        <v>0</v>
      </c>
      <c r="I42" s="348">
        <f>'Total Rate Impact'!I41</f>
        <v>68772</v>
      </c>
      <c r="J42" s="270"/>
      <c r="K42" s="270">
        <f>ROUND(H42*I42,2)</f>
        <v>0</v>
      </c>
      <c r="L42" s="268"/>
      <c r="Q42" s="270"/>
      <c r="R42" s="270"/>
      <c r="S42" s="270"/>
    </row>
    <row r="43" spans="2:19" ht="12.75" customHeight="1">
      <c r="B43" s="598">
        <f t="shared" si="1"/>
        <v>33</v>
      </c>
      <c r="D43" s="316" t="s">
        <v>192</v>
      </c>
      <c r="E43" s="598"/>
      <c r="F43" s="277">
        <v>0</v>
      </c>
      <c r="G43" s="308">
        <f>'Summary of Rates'!G41</f>
        <v>0</v>
      </c>
      <c r="H43" s="269">
        <f t="shared" si="5"/>
        <v>0</v>
      </c>
      <c r="I43" s="348">
        <f>'Total Rate Impact'!I42</f>
        <v>19100696</v>
      </c>
      <c r="J43" s="270"/>
      <c r="K43" s="270">
        <f>ROUND(H43*I43,2)</f>
        <v>0</v>
      </c>
      <c r="L43" s="268"/>
      <c r="Q43" s="270"/>
      <c r="R43" s="270"/>
      <c r="S43" s="270"/>
    </row>
    <row r="44" spans="2:19" ht="12.75" customHeight="1">
      <c r="B44" s="598">
        <f t="shared" si="1"/>
        <v>34</v>
      </c>
      <c r="D44" s="316" t="s">
        <v>187</v>
      </c>
      <c r="E44" s="598"/>
      <c r="F44" s="277"/>
      <c r="G44" s="308"/>
      <c r="H44" s="269"/>
      <c r="I44" s="348"/>
      <c r="J44" s="270"/>
      <c r="K44" s="270"/>
      <c r="L44" s="268"/>
      <c r="Q44" s="270"/>
      <c r="R44" s="270"/>
      <c r="S44" s="270"/>
    </row>
    <row r="45" spans="2:19" ht="12.75" customHeight="1">
      <c r="B45" s="598">
        <f t="shared" si="1"/>
        <v>35</v>
      </c>
      <c r="D45" s="316" t="s">
        <v>308</v>
      </c>
      <c r="E45" s="598"/>
      <c r="F45" s="277">
        <v>0</v>
      </c>
      <c r="G45" s="308">
        <f>'Summary of Rates'!G44</f>
        <v>0</v>
      </c>
      <c r="H45" s="269">
        <f t="shared" si="5"/>
        <v>0</v>
      </c>
      <c r="I45" s="348">
        <f>'Total Rate Impact'!I44</f>
        <v>9874251.9437413048</v>
      </c>
      <c r="J45" s="270"/>
      <c r="K45" s="270">
        <f t="shared" ref="K45:K47" si="6">ROUND(H45*I45,2)</f>
        <v>0</v>
      </c>
      <c r="L45" s="268"/>
      <c r="Q45" s="270"/>
      <c r="R45" s="270"/>
      <c r="S45" s="270"/>
    </row>
    <row r="46" spans="2:19" ht="12.75" customHeight="1">
      <c r="B46" s="598">
        <f t="shared" si="1"/>
        <v>36</v>
      </c>
      <c r="D46" s="316" t="s">
        <v>309</v>
      </c>
      <c r="E46" s="598"/>
      <c r="F46" s="277">
        <v>0</v>
      </c>
      <c r="G46" s="308">
        <f>'Summary of Rates'!G45</f>
        <v>0</v>
      </c>
      <c r="H46" s="269">
        <f t="shared" si="5"/>
        <v>0</v>
      </c>
      <c r="I46" s="348">
        <f>'Total Rate Impact'!I45</f>
        <v>4897094.9857685557</v>
      </c>
      <c r="J46" s="270"/>
      <c r="K46" s="270">
        <f t="shared" si="6"/>
        <v>0</v>
      </c>
      <c r="L46" s="268"/>
      <c r="Q46" s="270"/>
      <c r="R46" s="270"/>
      <c r="S46" s="270"/>
    </row>
    <row r="47" spans="2:19" ht="12.75" customHeight="1">
      <c r="B47" s="598">
        <f t="shared" si="1"/>
        <v>37</v>
      </c>
      <c r="D47" s="316" t="s">
        <v>310</v>
      </c>
      <c r="E47" s="598"/>
      <c r="F47" s="277">
        <v>0</v>
      </c>
      <c r="G47" s="308">
        <f>'Summary of Rates'!G46</f>
        <v>0</v>
      </c>
      <c r="H47" s="269">
        <f t="shared" si="5"/>
        <v>0</v>
      </c>
      <c r="I47" s="357">
        <f>'Total Rate Impact'!I46</f>
        <v>4329349.0704901405</v>
      </c>
      <c r="J47" s="270"/>
      <c r="K47" s="272">
        <f t="shared" si="6"/>
        <v>0</v>
      </c>
      <c r="L47" s="268"/>
      <c r="Q47" s="270"/>
      <c r="R47" s="270"/>
      <c r="S47" s="270"/>
    </row>
    <row r="48" spans="2:19" ht="12.75" customHeight="1">
      <c r="B48" s="598">
        <f t="shared" si="1"/>
        <v>38</v>
      </c>
      <c r="D48" s="316" t="s">
        <v>143</v>
      </c>
      <c r="E48" s="598"/>
      <c r="F48" s="277"/>
      <c r="H48" s="297"/>
      <c r="I48" s="267">
        <f>SUM(I45:I47)</f>
        <v>19100696</v>
      </c>
      <c r="J48" s="358">
        <f>'Rate Impact Rev'!O21</f>
        <v>8788393.9017745443</v>
      </c>
      <c r="K48" s="270">
        <f>SUM(K42:K47)</f>
        <v>0</v>
      </c>
      <c r="L48" s="268">
        <f>K48/J48</f>
        <v>0</v>
      </c>
      <c r="Q48" s="270"/>
      <c r="R48" s="270"/>
      <c r="S48" s="270"/>
    </row>
    <row r="49" spans="2:19" ht="12.75" customHeight="1">
      <c r="B49" s="598">
        <f t="shared" si="1"/>
        <v>39</v>
      </c>
      <c r="E49" s="598"/>
      <c r="F49" s="277"/>
      <c r="G49" s="308"/>
      <c r="H49" s="297"/>
      <c r="J49" s="270"/>
      <c r="K49" s="270"/>
      <c r="L49" s="268"/>
      <c r="Q49" s="270"/>
      <c r="R49" s="270"/>
      <c r="S49" s="270"/>
    </row>
    <row r="50" spans="2:19" ht="12.75" customHeight="1">
      <c r="B50" s="598">
        <f t="shared" si="1"/>
        <v>40</v>
      </c>
      <c r="C50" s="316" t="s">
        <v>311</v>
      </c>
      <c r="E50" s="598" t="s">
        <v>243</v>
      </c>
      <c r="F50" s="277"/>
      <c r="G50" s="308"/>
      <c r="H50" s="297"/>
      <c r="J50" s="270"/>
      <c r="K50" s="270"/>
      <c r="L50" s="268"/>
      <c r="Q50" s="270"/>
      <c r="R50" s="270"/>
      <c r="S50" s="270"/>
    </row>
    <row r="51" spans="2:19" ht="12.75" customHeight="1">
      <c r="B51" s="598">
        <f t="shared" si="1"/>
        <v>41</v>
      </c>
      <c r="D51" s="316" t="s">
        <v>307</v>
      </c>
      <c r="E51" s="598"/>
      <c r="F51" s="426">
        <v>0</v>
      </c>
      <c r="G51" s="427">
        <f>'Summary of Rates'!G49</f>
        <v>0</v>
      </c>
      <c r="H51" s="297"/>
      <c r="J51" s="270"/>
      <c r="K51" s="270"/>
      <c r="L51" s="268"/>
      <c r="Q51" s="270"/>
      <c r="R51" s="270"/>
      <c r="S51" s="270"/>
    </row>
    <row r="52" spans="2:19" ht="12.75" customHeight="1">
      <c r="B52" s="598">
        <f t="shared" si="1"/>
        <v>42</v>
      </c>
      <c r="D52" s="316" t="s">
        <v>186</v>
      </c>
      <c r="E52" s="598"/>
      <c r="F52" s="426">
        <v>0</v>
      </c>
      <c r="G52" s="426">
        <v>0</v>
      </c>
      <c r="H52" s="269">
        <f t="shared" ref="H52:H56" si="7">G52-F52</f>
        <v>0</v>
      </c>
      <c r="I52" s="348">
        <f>'Total Rate Impact'!I51</f>
        <v>1347828</v>
      </c>
      <c r="J52" s="270"/>
      <c r="K52" s="270">
        <f>ROUND(H52*I52,2)</f>
        <v>0</v>
      </c>
      <c r="L52" s="268"/>
      <c r="Q52" s="270"/>
      <c r="R52" s="270"/>
      <c r="S52" s="270"/>
    </row>
    <row r="53" spans="2:19" ht="12.75" customHeight="1">
      <c r="B53" s="598">
        <f t="shared" si="1"/>
        <v>43</v>
      </c>
      <c r="D53" s="316" t="s">
        <v>187</v>
      </c>
      <c r="E53" s="598"/>
      <c r="F53" s="277"/>
      <c r="G53" s="308"/>
      <c r="H53" s="269"/>
      <c r="I53" s="356"/>
      <c r="J53" s="270"/>
      <c r="K53" s="270"/>
      <c r="L53" s="268"/>
      <c r="Q53" s="270"/>
      <c r="R53" s="270"/>
      <c r="S53" s="270"/>
    </row>
    <row r="54" spans="2:19" ht="12.75" customHeight="1">
      <c r="B54" s="598">
        <f t="shared" si="1"/>
        <v>44</v>
      </c>
      <c r="D54" s="316" t="s">
        <v>308</v>
      </c>
      <c r="E54" s="598"/>
      <c r="F54" s="277">
        <v>0</v>
      </c>
      <c r="G54" s="308">
        <f>'Summary of Rates'!G52</f>
        <v>0</v>
      </c>
      <c r="H54" s="269">
        <f t="shared" si="7"/>
        <v>0</v>
      </c>
      <c r="I54" s="348">
        <f>'Total Rate Impact'!I53</f>
        <v>32743237.672463395</v>
      </c>
      <c r="J54" s="270"/>
      <c r="K54" s="270">
        <f t="shared" ref="K54:K56" si="8">ROUND(H54*I54,2)</f>
        <v>0</v>
      </c>
      <c r="L54" s="268"/>
      <c r="Q54" s="270"/>
      <c r="R54" s="270"/>
      <c r="S54" s="270"/>
    </row>
    <row r="55" spans="2:19" ht="12.75" customHeight="1">
      <c r="B55" s="598">
        <f t="shared" si="1"/>
        <v>45</v>
      </c>
      <c r="D55" s="316" t="s">
        <v>309</v>
      </c>
      <c r="E55" s="598"/>
      <c r="F55" s="277">
        <v>0</v>
      </c>
      <c r="G55" s="308">
        <f>'Summary of Rates'!G53</f>
        <v>0</v>
      </c>
      <c r="H55" s="269">
        <f t="shared" si="7"/>
        <v>0</v>
      </c>
      <c r="I55" s="348">
        <f>'Total Rate Impact'!I54</f>
        <v>21044923.209942862</v>
      </c>
      <c r="J55" s="270"/>
      <c r="K55" s="270">
        <f t="shared" si="8"/>
        <v>0</v>
      </c>
      <c r="L55" s="268"/>
      <c r="Q55" s="270"/>
      <c r="R55" s="270"/>
      <c r="S55" s="270"/>
    </row>
    <row r="56" spans="2:19" ht="12.75" customHeight="1">
      <c r="B56" s="598">
        <f t="shared" si="1"/>
        <v>46</v>
      </c>
      <c r="D56" s="316" t="s">
        <v>310</v>
      </c>
      <c r="E56" s="598"/>
      <c r="F56" s="277">
        <v>0</v>
      </c>
      <c r="G56" s="308">
        <f>'Summary of Rates'!G54</f>
        <v>0</v>
      </c>
      <c r="H56" s="269">
        <f t="shared" si="7"/>
        <v>0</v>
      </c>
      <c r="I56" s="357">
        <f>'Total Rate Impact'!I55</f>
        <v>33543923.117593743</v>
      </c>
      <c r="J56" s="270"/>
      <c r="K56" s="272">
        <f t="shared" si="8"/>
        <v>0</v>
      </c>
      <c r="L56" s="268"/>
      <c r="Q56" s="270"/>
      <c r="R56" s="270"/>
      <c r="S56" s="270"/>
    </row>
    <row r="57" spans="2:19" ht="12.75" customHeight="1">
      <c r="B57" s="598">
        <f t="shared" si="1"/>
        <v>47</v>
      </c>
      <c r="D57" s="316" t="s">
        <v>143</v>
      </c>
      <c r="E57" s="598"/>
      <c r="F57" s="277"/>
      <c r="G57" s="308"/>
      <c r="H57" s="297"/>
      <c r="I57" s="267">
        <f>SUM(I54:I56)</f>
        <v>87332084</v>
      </c>
      <c r="J57" s="358">
        <f>'Rate Impact Rev'!O22</f>
        <v>9371980.5137247033</v>
      </c>
      <c r="K57" s="270">
        <f>SUM(K52:K56)</f>
        <v>0</v>
      </c>
      <c r="L57" s="268">
        <f>K57/J57</f>
        <v>0</v>
      </c>
      <c r="Q57" s="270"/>
      <c r="R57" s="270"/>
      <c r="S57" s="270"/>
    </row>
    <row r="58" spans="2:19" ht="12.75" customHeight="1">
      <c r="B58" s="598">
        <f t="shared" si="1"/>
        <v>48</v>
      </c>
      <c r="E58" s="598"/>
      <c r="F58" s="277"/>
      <c r="G58" s="308"/>
      <c r="H58" s="297"/>
      <c r="J58" s="270"/>
      <c r="K58" s="270"/>
      <c r="L58" s="268"/>
      <c r="Q58" s="270"/>
      <c r="R58" s="270"/>
      <c r="S58" s="270"/>
    </row>
    <row r="59" spans="2:19" ht="12.75" customHeight="1">
      <c r="B59" s="598">
        <f t="shared" si="1"/>
        <v>49</v>
      </c>
      <c r="D59" s="316" t="s">
        <v>312</v>
      </c>
      <c r="E59" s="598" t="s">
        <v>313</v>
      </c>
      <c r="F59" s="277"/>
      <c r="G59" s="308"/>
      <c r="H59" s="297"/>
      <c r="I59" s="267">
        <f>I48+I57</f>
        <v>106432780</v>
      </c>
      <c r="J59" s="270">
        <f>J48+J57</f>
        <v>18160374.415499248</v>
      </c>
      <c r="K59" s="270">
        <f>K48+K57</f>
        <v>0</v>
      </c>
      <c r="L59" s="268">
        <f>K59/J59</f>
        <v>0</v>
      </c>
      <c r="Q59" s="270"/>
      <c r="R59" s="270"/>
      <c r="S59" s="270"/>
    </row>
    <row r="60" spans="2:19" ht="12.75" customHeight="1">
      <c r="B60" s="598">
        <f t="shared" si="1"/>
        <v>50</v>
      </c>
      <c r="E60" s="598"/>
      <c r="F60" s="277"/>
      <c r="G60" s="308"/>
      <c r="H60" s="297"/>
      <c r="J60" s="270"/>
      <c r="K60" s="270"/>
      <c r="L60" s="268"/>
      <c r="Q60" s="270"/>
      <c r="R60" s="270"/>
      <c r="S60" s="270"/>
    </row>
    <row r="61" spans="2:19" ht="12.75" customHeight="1">
      <c r="B61" s="598">
        <f t="shared" si="1"/>
        <v>51</v>
      </c>
      <c r="C61" s="316" t="s">
        <v>314</v>
      </c>
      <c r="E61" s="598">
        <v>86</v>
      </c>
      <c r="F61" s="277"/>
      <c r="G61" s="308"/>
      <c r="H61" s="297"/>
      <c r="J61" s="270"/>
      <c r="K61" s="274"/>
      <c r="L61" s="275"/>
      <c r="Q61" s="270"/>
      <c r="R61" s="270"/>
      <c r="S61" s="270"/>
    </row>
    <row r="62" spans="2:19" ht="12.75" customHeight="1">
      <c r="B62" s="598">
        <f t="shared" si="1"/>
        <v>52</v>
      </c>
      <c r="D62" s="316" t="s">
        <v>186</v>
      </c>
      <c r="E62" s="598"/>
      <c r="F62" s="426">
        <v>7.0000000000000062E-2</v>
      </c>
      <c r="G62" s="427">
        <f>'Summary of Rates'!G57</f>
        <v>0.12000000000000011</v>
      </c>
      <c r="H62" s="355">
        <f t="shared" ref="H62:H66" si="9">G62-F62</f>
        <v>5.0000000000000044E-2</v>
      </c>
      <c r="I62" s="348">
        <f>'Total Rate Impact'!I61</f>
        <v>81149</v>
      </c>
      <c r="J62" s="270"/>
      <c r="K62" s="270">
        <f>ROUND(H62*I62,2)</f>
        <v>4057.45</v>
      </c>
      <c r="L62" s="275"/>
      <c r="Q62" s="270"/>
      <c r="R62" s="270"/>
      <c r="S62" s="270"/>
    </row>
    <row r="63" spans="2:19" ht="12.75" customHeight="1">
      <c r="B63" s="598">
        <f t="shared" si="1"/>
        <v>53</v>
      </c>
      <c r="D63" s="316" t="s">
        <v>192</v>
      </c>
      <c r="E63" s="598"/>
      <c r="F63" s="277">
        <v>4.2000000000000023E-4</v>
      </c>
      <c r="G63" s="308">
        <f>'Summary of Rates'!G58</f>
        <v>7.3000000000000061E-4</v>
      </c>
      <c r="H63" s="269">
        <f t="shared" si="9"/>
        <v>3.1000000000000038E-4</v>
      </c>
      <c r="I63" s="348">
        <f>'Total Rate Impact'!I62</f>
        <v>9746828</v>
      </c>
      <c r="J63" s="270"/>
      <c r="K63" s="270">
        <f>ROUND(H63*I63,2)</f>
        <v>3021.52</v>
      </c>
      <c r="L63" s="275"/>
      <c r="Q63" s="270"/>
      <c r="R63" s="270"/>
      <c r="S63" s="270"/>
    </row>
    <row r="64" spans="2:19" ht="12.75" customHeight="1">
      <c r="B64" s="598">
        <f t="shared" si="1"/>
        <v>54</v>
      </c>
      <c r="D64" s="316" t="s">
        <v>187</v>
      </c>
      <c r="E64" s="598"/>
      <c r="F64" s="277"/>
      <c r="G64" s="308"/>
      <c r="H64" s="269"/>
      <c r="I64" s="356"/>
      <c r="J64" s="270"/>
      <c r="K64" s="274"/>
      <c r="L64" s="275"/>
      <c r="Q64" s="270"/>
      <c r="R64" s="270"/>
      <c r="S64" s="270"/>
    </row>
    <row r="65" spans="2:19" ht="12.75" customHeight="1">
      <c r="B65" s="598">
        <f t="shared" si="1"/>
        <v>55</v>
      </c>
      <c r="D65" s="316" t="s">
        <v>193</v>
      </c>
      <c r="E65" s="598"/>
      <c r="F65" s="277">
        <v>1.2139999999999984E-2</v>
      </c>
      <c r="G65" s="308">
        <f>'Summary of Rates'!G61</f>
        <v>2.1260000000000001E-2</v>
      </c>
      <c r="H65" s="269">
        <f t="shared" si="9"/>
        <v>9.120000000000017E-3</v>
      </c>
      <c r="I65" s="348">
        <f>'Total Rate Impact'!I64</f>
        <v>2712652.6754525411</v>
      </c>
      <c r="J65" s="270"/>
      <c r="K65" s="270">
        <f>ROUND(H65*I65,2)</f>
        <v>24739.39</v>
      </c>
      <c r="L65" s="268"/>
      <c r="Q65" s="270"/>
      <c r="R65" s="270"/>
      <c r="S65" s="270"/>
    </row>
    <row r="66" spans="2:19" ht="12.75" customHeight="1">
      <c r="B66" s="598">
        <f t="shared" si="1"/>
        <v>56</v>
      </c>
      <c r="D66" s="316" t="s">
        <v>315</v>
      </c>
      <c r="E66" s="598"/>
      <c r="F66" s="277">
        <v>8.6100000000000065E-3</v>
      </c>
      <c r="G66" s="308">
        <f>'Summary of Rates'!G62</f>
        <v>1.507E-2</v>
      </c>
      <c r="H66" s="269">
        <f t="shared" si="9"/>
        <v>6.4599999999999935E-3</v>
      </c>
      <c r="I66" s="357">
        <f>'Total Rate Impact'!I65</f>
        <v>7034175.3245474584</v>
      </c>
      <c r="J66" s="270"/>
      <c r="K66" s="272">
        <f>ROUND(H66*I66,2)</f>
        <v>45440.77</v>
      </c>
      <c r="L66" s="268"/>
      <c r="Q66" s="270"/>
      <c r="R66" s="270"/>
      <c r="S66" s="270"/>
    </row>
    <row r="67" spans="2:19" ht="12.75" customHeight="1">
      <c r="B67" s="598">
        <f t="shared" si="1"/>
        <v>57</v>
      </c>
      <c r="D67" s="316" t="s">
        <v>143</v>
      </c>
      <c r="E67" s="598"/>
      <c r="F67" s="277"/>
      <c r="G67" s="308"/>
      <c r="H67" s="297"/>
      <c r="I67" s="267">
        <f>SUM(I65:I66)</f>
        <v>9746828</v>
      </c>
      <c r="J67" s="358">
        <f>'Rate Impact Rev'!O24</f>
        <v>5790449.1895529591</v>
      </c>
      <c r="K67" s="270">
        <f>SUM(K62:K66)</f>
        <v>77259.13</v>
      </c>
      <c r="L67" s="268">
        <f>K67/J67</f>
        <v>1.3342510653472231E-2</v>
      </c>
      <c r="Q67" s="270"/>
      <c r="R67" s="270"/>
      <c r="S67" s="270"/>
    </row>
    <row r="68" spans="2:19" ht="12.75" customHeight="1">
      <c r="B68" s="598">
        <f t="shared" si="1"/>
        <v>58</v>
      </c>
      <c r="E68" s="598"/>
      <c r="F68" s="277"/>
      <c r="G68" s="308"/>
      <c r="H68" s="297"/>
      <c r="I68" s="267"/>
      <c r="J68" s="270"/>
      <c r="K68" s="270"/>
      <c r="L68" s="268"/>
      <c r="Q68" s="270"/>
      <c r="R68" s="270"/>
      <c r="S68" s="270"/>
    </row>
    <row r="69" spans="2:19" ht="12.75" customHeight="1">
      <c r="B69" s="598">
        <f t="shared" si="1"/>
        <v>59</v>
      </c>
      <c r="C69" s="316" t="s">
        <v>316</v>
      </c>
      <c r="E69" s="598" t="s">
        <v>244</v>
      </c>
      <c r="F69" s="277"/>
      <c r="G69" s="308"/>
      <c r="H69" s="297"/>
      <c r="J69" s="270"/>
      <c r="K69" s="274"/>
      <c r="L69" s="275"/>
      <c r="Q69" s="270"/>
      <c r="R69" s="270"/>
      <c r="S69" s="270"/>
    </row>
    <row r="70" spans="2:19" ht="12.75" customHeight="1">
      <c r="B70" s="598">
        <f t="shared" si="1"/>
        <v>60</v>
      </c>
      <c r="D70" s="316" t="s">
        <v>186</v>
      </c>
      <c r="E70" s="598"/>
      <c r="F70" s="426">
        <v>7.0000000000000062E-2</v>
      </c>
      <c r="G70" s="427">
        <f>'Summary of Rates'!G65</f>
        <v>0.12000000000000011</v>
      </c>
      <c r="H70" s="355">
        <f t="shared" ref="H70:H73" si="10">G70-F70</f>
        <v>5.0000000000000044E-2</v>
      </c>
      <c r="I70" s="348">
        <f>'Total Rate Impact'!I69</f>
        <v>18000</v>
      </c>
      <c r="J70" s="270"/>
      <c r="K70" s="270">
        <f>ROUND(H70*I70,2)</f>
        <v>900</v>
      </c>
      <c r="L70" s="275"/>
      <c r="Q70" s="270"/>
      <c r="R70" s="270"/>
      <c r="S70" s="270"/>
    </row>
    <row r="71" spans="2:19" ht="12.75" customHeight="1">
      <c r="B71" s="598">
        <f t="shared" si="1"/>
        <v>61</v>
      </c>
      <c r="D71" s="316" t="s">
        <v>187</v>
      </c>
      <c r="E71" s="598"/>
      <c r="F71" s="277"/>
      <c r="G71" s="308"/>
      <c r="H71" s="269"/>
      <c r="I71" s="356"/>
      <c r="J71" s="270"/>
      <c r="K71" s="274"/>
      <c r="L71" s="275"/>
      <c r="Q71" s="270"/>
      <c r="R71" s="270"/>
      <c r="S71" s="270"/>
    </row>
    <row r="72" spans="2:19" ht="12.75" customHeight="1">
      <c r="B72" s="598">
        <f t="shared" si="1"/>
        <v>62</v>
      </c>
      <c r="D72" s="316" t="s">
        <v>193</v>
      </c>
      <c r="E72" s="598"/>
      <c r="F72" s="277">
        <v>1.2139999999999984E-2</v>
      </c>
      <c r="G72" s="308">
        <f>'Summary of Rates'!G68</f>
        <v>2.1260000000000001E-2</v>
      </c>
      <c r="H72" s="269">
        <f t="shared" si="10"/>
        <v>9.120000000000017E-3</v>
      </c>
      <c r="I72" s="348">
        <f>'Total Rate Impact'!I71</f>
        <v>20079.323032941302</v>
      </c>
      <c r="J72" s="270"/>
      <c r="K72" s="270">
        <f>ROUND(H72*I72,2)</f>
        <v>183.12</v>
      </c>
      <c r="L72" s="268"/>
      <c r="Q72" s="270"/>
      <c r="R72" s="270"/>
      <c r="S72" s="270"/>
    </row>
    <row r="73" spans="2:19" ht="12.75" customHeight="1">
      <c r="B73" s="598">
        <f t="shared" si="1"/>
        <v>63</v>
      </c>
      <c r="D73" s="316" t="s">
        <v>315</v>
      </c>
      <c r="E73" s="598"/>
      <c r="F73" s="277">
        <v>8.6100000000000065E-3</v>
      </c>
      <c r="G73" s="308">
        <f>'Summary of Rates'!G69</f>
        <v>1.507E-2</v>
      </c>
      <c r="H73" s="269">
        <f t="shared" si="10"/>
        <v>6.4599999999999935E-3</v>
      </c>
      <c r="I73" s="357">
        <f>'Total Rate Impact'!I72</f>
        <v>175915.67696705868</v>
      </c>
      <c r="J73" s="270"/>
      <c r="K73" s="272">
        <f>ROUND(H73*I73,2)</f>
        <v>1136.42</v>
      </c>
      <c r="L73" s="268"/>
      <c r="Q73" s="270"/>
      <c r="R73" s="270"/>
      <c r="S73" s="270"/>
    </row>
    <row r="74" spans="2:19" ht="12.75" customHeight="1">
      <c r="B74" s="598">
        <f t="shared" si="1"/>
        <v>64</v>
      </c>
      <c r="D74" s="316" t="s">
        <v>143</v>
      </c>
      <c r="E74" s="598"/>
      <c r="F74" s="277"/>
      <c r="G74" s="308"/>
      <c r="H74" s="297"/>
      <c r="I74" s="267">
        <f>SUM(I72:I73)</f>
        <v>195994.99999999997</v>
      </c>
      <c r="J74" s="358">
        <f>'Rate Impact Rev'!O25</f>
        <v>75825.208898315963</v>
      </c>
      <c r="K74" s="270">
        <f>SUM(K70:K73)</f>
        <v>2219.54</v>
      </c>
      <c r="L74" s="268">
        <f>K74/J74</f>
        <v>2.9271795386366484E-2</v>
      </c>
      <c r="Q74" s="270"/>
      <c r="R74" s="270"/>
      <c r="S74" s="270"/>
    </row>
    <row r="75" spans="2:19" ht="12.75" customHeight="1">
      <c r="B75" s="598">
        <f t="shared" si="1"/>
        <v>65</v>
      </c>
      <c r="E75" s="598"/>
      <c r="F75" s="277"/>
      <c r="G75" s="297"/>
      <c r="H75" s="297"/>
      <c r="I75" s="267"/>
      <c r="J75" s="270"/>
      <c r="K75" s="270"/>
      <c r="L75" s="268"/>
      <c r="Q75" s="270"/>
      <c r="R75" s="270"/>
      <c r="S75" s="270"/>
    </row>
    <row r="76" spans="2:19" ht="12.75" customHeight="1">
      <c r="B76" s="598">
        <f t="shared" si="1"/>
        <v>66</v>
      </c>
      <c r="D76" s="316" t="s">
        <v>317</v>
      </c>
      <c r="E76" s="598" t="s">
        <v>318</v>
      </c>
      <c r="F76" s="277"/>
      <c r="G76" s="297"/>
      <c r="H76" s="297"/>
      <c r="I76" s="267">
        <f>I67+I74</f>
        <v>9942823</v>
      </c>
      <c r="J76" s="270">
        <f t="shared" ref="J76:K76" si="11">J67+J74</f>
        <v>5866274.3984512752</v>
      </c>
      <c r="K76" s="270">
        <f t="shared" si="11"/>
        <v>79478.67</v>
      </c>
      <c r="L76" s="268">
        <f>K76/J76</f>
        <v>1.3548406467481773E-2</v>
      </c>
      <c r="Q76" s="270"/>
      <c r="R76" s="270"/>
      <c r="S76" s="270"/>
    </row>
    <row r="77" spans="2:19" ht="12.75" customHeight="1">
      <c r="B77" s="598">
        <f t="shared" si="1"/>
        <v>67</v>
      </c>
      <c r="E77" s="598"/>
      <c r="F77" s="277"/>
      <c r="G77" s="297"/>
      <c r="H77" s="297"/>
      <c r="I77" s="267"/>
      <c r="J77" s="270"/>
      <c r="K77" s="270"/>
      <c r="L77" s="268"/>
      <c r="Q77" s="270"/>
      <c r="R77" s="270"/>
      <c r="S77" s="270"/>
    </row>
    <row r="78" spans="2:19" ht="12.75" customHeight="1">
      <c r="B78" s="598">
        <f t="shared" si="1"/>
        <v>68</v>
      </c>
      <c r="C78" s="316" t="s">
        <v>306</v>
      </c>
      <c r="E78" s="598">
        <v>87</v>
      </c>
      <c r="F78" s="277"/>
      <c r="G78" s="297"/>
      <c r="H78" s="297"/>
      <c r="I78" s="267"/>
      <c r="J78" s="270"/>
      <c r="K78" s="270"/>
      <c r="L78" s="268"/>
      <c r="Q78" s="270"/>
      <c r="R78" s="270"/>
      <c r="S78" s="270"/>
    </row>
    <row r="79" spans="2:19" ht="12.75" customHeight="1">
      <c r="B79" s="598">
        <f t="shared" si="1"/>
        <v>69</v>
      </c>
      <c r="D79" s="316" t="s">
        <v>307</v>
      </c>
      <c r="E79" s="598"/>
      <c r="F79" s="426">
        <v>0</v>
      </c>
      <c r="G79" s="427">
        <f>'Summary of Rates'!G72</f>
        <v>0</v>
      </c>
      <c r="H79" s="297"/>
      <c r="I79" s="267"/>
      <c r="J79" s="270"/>
      <c r="K79" s="270"/>
      <c r="L79" s="268"/>
      <c r="Q79" s="270"/>
      <c r="R79" s="270"/>
      <c r="S79" s="270"/>
    </row>
    <row r="80" spans="2:19" ht="12.75" customHeight="1">
      <c r="B80" s="598">
        <f t="shared" si="1"/>
        <v>70</v>
      </c>
      <c r="D80" s="316" t="s">
        <v>186</v>
      </c>
      <c r="E80" s="598"/>
      <c r="F80" s="426">
        <v>0</v>
      </c>
      <c r="G80" s="426">
        <v>0</v>
      </c>
      <c r="H80" s="269">
        <f t="shared" ref="H80:H88" si="12">G80-F80</f>
        <v>0</v>
      </c>
      <c r="I80" s="348">
        <f>'Total Rate Impact'!I79</f>
        <v>0</v>
      </c>
      <c r="J80" s="270"/>
      <c r="K80" s="270">
        <f t="shared" ref="K80:K81" si="13">ROUND(H80*I80,2)</f>
        <v>0</v>
      </c>
      <c r="L80" s="268"/>
      <c r="Q80" s="270"/>
      <c r="R80" s="270"/>
      <c r="S80" s="270"/>
    </row>
    <row r="81" spans="2:19" ht="12.75" customHeight="1">
      <c r="B81" s="598">
        <f t="shared" si="1"/>
        <v>71</v>
      </c>
      <c r="D81" s="316" t="s">
        <v>192</v>
      </c>
      <c r="E81" s="598"/>
      <c r="F81" s="277">
        <v>0</v>
      </c>
      <c r="G81" s="308">
        <f>'Summary of Rates'!G73</f>
        <v>0</v>
      </c>
      <c r="H81" s="269">
        <f t="shared" si="12"/>
        <v>0</v>
      </c>
      <c r="I81" s="348">
        <f>'Total Rate Impact'!I80</f>
        <v>23768329</v>
      </c>
      <c r="J81" s="270"/>
      <c r="K81" s="270">
        <f t="shared" si="13"/>
        <v>0</v>
      </c>
      <c r="L81" s="268"/>
      <c r="Q81" s="270"/>
      <c r="R81" s="270"/>
      <c r="S81" s="270"/>
    </row>
    <row r="82" spans="2:19" ht="12.75" customHeight="1">
      <c r="B82" s="598">
        <f t="shared" si="1"/>
        <v>72</v>
      </c>
      <c r="D82" s="316" t="s">
        <v>187</v>
      </c>
      <c r="E82" s="598"/>
      <c r="F82" s="277"/>
      <c r="G82" s="308"/>
      <c r="H82" s="269"/>
      <c r="I82" s="348"/>
      <c r="J82" s="270"/>
      <c r="K82" s="270"/>
      <c r="L82" s="268"/>
      <c r="Q82" s="270"/>
      <c r="R82" s="270"/>
      <c r="S82" s="270"/>
    </row>
    <row r="83" spans="2:19" ht="12.75" customHeight="1">
      <c r="B83" s="598">
        <f t="shared" si="1"/>
        <v>73</v>
      </c>
      <c r="D83" s="316" t="s">
        <v>308</v>
      </c>
      <c r="E83" s="598"/>
      <c r="F83" s="277">
        <v>0</v>
      </c>
      <c r="G83" s="308">
        <f>'Summary of Rates'!G76</f>
        <v>0</v>
      </c>
      <c r="H83" s="269">
        <f t="shared" si="12"/>
        <v>0</v>
      </c>
      <c r="I83" s="348">
        <f>'Total Rate Impact'!I82</f>
        <v>1712708.2929635758</v>
      </c>
      <c r="J83" s="270"/>
      <c r="K83" s="270">
        <f t="shared" ref="K83:K88" si="14">ROUND(H83*I83,2)</f>
        <v>0</v>
      </c>
      <c r="L83" s="268"/>
      <c r="Q83" s="270"/>
      <c r="R83" s="270"/>
      <c r="S83" s="270"/>
    </row>
    <row r="84" spans="2:19" ht="12.75" customHeight="1">
      <c r="B84" s="598">
        <f t="shared" ref="B84:B105" si="15">B83+1</f>
        <v>74</v>
      </c>
      <c r="D84" s="316" t="s">
        <v>309</v>
      </c>
      <c r="E84" s="598"/>
      <c r="F84" s="277">
        <v>0</v>
      </c>
      <c r="G84" s="308">
        <f>'Summary of Rates'!G77</f>
        <v>0</v>
      </c>
      <c r="H84" s="269">
        <f t="shared" si="12"/>
        <v>0</v>
      </c>
      <c r="I84" s="348">
        <f>'Total Rate Impact'!I83</f>
        <v>1678435.3814066323</v>
      </c>
      <c r="J84" s="270"/>
      <c r="K84" s="270">
        <f t="shared" si="14"/>
        <v>0</v>
      </c>
      <c r="L84" s="268"/>
      <c r="Q84" s="270"/>
      <c r="R84" s="270"/>
      <c r="S84" s="270"/>
    </row>
    <row r="85" spans="2:19" ht="12.75" customHeight="1">
      <c r="B85" s="598">
        <f t="shared" si="15"/>
        <v>75</v>
      </c>
      <c r="D85" s="316" t="s">
        <v>319</v>
      </c>
      <c r="E85" s="598"/>
      <c r="F85" s="277">
        <v>0</v>
      </c>
      <c r="G85" s="308">
        <f>'Summary of Rates'!G78</f>
        <v>0</v>
      </c>
      <c r="H85" s="269">
        <f t="shared" si="12"/>
        <v>0</v>
      </c>
      <c r="I85" s="348">
        <f>'Total Rate Impact'!I84</f>
        <v>3022025.8802915858</v>
      </c>
      <c r="J85" s="270"/>
      <c r="K85" s="270">
        <f t="shared" si="14"/>
        <v>0</v>
      </c>
      <c r="L85" s="268"/>
      <c r="Q85" s="270"/>
      <c r="R85" s="270"/>
      <c r="S85" s="270"/>
    </row>
    <row r="86" spans="2:19" ht="12.75" customHeight="1">
      <c r="B86" s="598">
        <f t="shared" si="15"/>
        <v>76</v>
      </c>
      <c r="D86" s="316" t="s">
        <v>267</v>
      </c>
      <c r="E86" s="598"/>
      <c r="F86" s="277">
        <v>0</v>
      </c>
      <c r="G86" s="308">
        <f>'Summary of Rates'!G79</f>
        <v>0</v>
      </c>
      <c r="H86" s="269">
        <f t="shared" si="12"/>
        <v>0</v>
      </c>
      <c r="I86" s="348">
        <f>'Total Rate Impact'!I85</f>
        <v>3504663.5853285049</v>
      </c>
      <c r="J86" s="270"/>
      <c r="K86" s="270">
        <f t="shared" si="14"/>
        <v>0</v>
      </c>
      <c r="L86" s="268"/>
      <c r="Q86" s="270"/>
      <c r="R86" s="270"/>
      <c r="S86" s="270"/>
    </row>
    <row r="87" spans="2:19" ht="12.75" customHeight="1">
      <c r="B87" s="598">
        <f t="shared" si="15"/>
        <v>77</v>
      </c>
      <c r="D87" s="602" t="s">
        <v>268</v>
      </c>
      <c r="E87" s="598"/>
      <c r="F87" s="277">
        <v>0</v>
      </c>
      <c r="G87" s="308">
        <f>'Summary of Rates'!G80</f>
        <v>0</v>
      </c>
      <c r="H87" s="269">
        <f t="shared" si="12"/>
        <v>0</v>
      </c>
      <c r="I87" s="348">
        <f>'Total Rate Impact'!I86</f>
        <v>4346628.3053790834</v>
      </c>
      <c r="J87" s="270"/>
      <c r="K87" s="270">
        <f t="shared" si="14"/>
        <v>0</v>
      </c>
      <c r="L87" s="268"/>
      <c r="Q87" s="270"/>
      <c r="R87" s="270"/>
      <c r="S87" s="270"/>
    </row>
    <row r="88" spans="2:19" ht="12.75" customHeight="1">
      <c r="B88" s="598">
        <f t="shared" si="15"/>
        <v>78</v>
      </c>
      <c r="D88" s="316" t="s">
        <v>320</v>
      </c>
      <c r="E88" s="598"/>
      <c r="F88" s="277">
        <v>0</v>
      </c>
      <c r="G88" s="308">
        <f>'Summary of Rates'!G81</f>
        <v>0</v>
      </c>
      <c r="H88" s="269">
        <f t="shared" si="12"/>
        <v>0</v>
      </c>
      <c r="I88" s="357">
        <f>'Total Rate Impact'!I87</f>
        <v>9503867.5546306185</v>
      </c>
      <c r="J88" s="270"/>
      <c r="K88" s="272">
        <f t="shared" si="14"/>
        <v>0</v>
      </c>
      <c r="L88" s="268"/>
      <c r="Q88" s="270"/>
      <c r="R88" s="270"/>
      <c r="S88" s="270"/>
    </row>
    <row r="89" spans="2:19" ht="12.75" customHeight="1">
      <c r="B89" s="598">
        <f t="shared" si="15"/>
        <v>79</v>
      </c>
      <c r="D89" s="316" t="s">
        <v>143</v>
      </c>
      <c r="E89" s="598"/>
      <c r="F89" s="277"/>
      <c r="G89" s="297"/>
      <c r="H89" s="297"/>
      <c r="I89" s="267">
        <f>SUM(I83:I88)</f>
        <v>23768329</v>
      </c>
      <c r="J89" s="270">
        <f>'Rate Impact Rev'!O27</f>
        <v>9906575.931720702</v>
      </c>
      <c r="K89" s="270">
        <f>SUM(K80:K88)</f>
        <v>0</v>
      </c>
      <c r="L89" s="268">
        <f>K89/J89</f>
        <v>0</v>
      </c>
      <c r="Q89" s="270"/>
      <c r="R89" s="270"/>
      <c r="S89" s="270"/>
    </row>
    <row r="90" spans="2:19" ht="12.75" customHeight="1">
      <c r="B90" s="598">
        <f t="shared" si="15"/>
        <v>80</v>
      </c>
      <c r="E90" s="598"/>
      <c r="F90" s="277"/>
      <c r="G90" s="297"/>
      <c r="H90" s="297"/>
      <c r="I90" s="267"/>
      <c r="J90" s="270"/>
      <c r="K90" s="270"/>
      <c r="L90" s="268"/>
      <c r="Q90" s="270"/>
      <c r="R90" s="270"/>
      <c r="S90" s="270"/>
    </row>
    <row r="91" spans="2:19" ht="12.75" customHeight="1">
      <c r="B91" s="598">
        <f t="shared" si="15"/>
        <v>81</v>
      </c>
      <c r="C91" s="316" t="s">
        <v>311</v>
      </c>
      <c r="E91" s="598" t="s">
        <v>245</v>
      </c>
      <c r="F91" s="277"/>
      <c r="G91" s="297"/>
      <c r="H91" s="297"/>
      <c r="I91" s="267"/>
      <c r="J91" s="270"/>
      <c r="K91" s="270"/>
      <c r="L91" s="268"/>
      <c r="Q91" s="270"/>
      <c r="R91" s="270"/>
      <c r="S91" s="270"/>
    </row>
    <row r="92" spans="2:19" ht="12.75" customHeight="1">
      <c r="B92" s="598">
        <f t="shared" si="15"/>
        <v>82</v>
      </c>
      <c r="D92" s="316" t="s">
        <v>307</v>
      </c>
      <c r="E92" s="598"/>
      <c r="F92" s="426">
        <v>0</v>
      </c>
      <c r="G92" s="427">
        <f>'Summary of Rates'!G84</f>
        <v>0</v>
      </c>
      <c r="H92" s="297"/>
      <c r="I92" s="267"/>
      <c r="J92" s="270"/>
      <c r="K92" s="270"/>
      <c r="L92" s="268"/>
      <c r="Q92" s="270"/>
      <c r="R92" s="270"/>
      <c r="S92" s="270"/>
    </row>
    <row r="93" spans="2:19" ht="12.75" customHeight="1">
      <c r="B93" s="598">
        <f t="shared" si="15"/>
        <v>83</v>
      </c>
      <c r="D93" s="316" t="s">
        <v>186</v>
      </c>
      <c r="E93" s="598"/>
      <c r="F93" s="426">
        <v>0</v>
      </c>
      <c r="G93" s="426">
        <v>0</v>
      </c>
      <c r="H93" s="269">
        <f t="shared" ref="H93:H100" si="16">G93-F93</f>
        <v>0</v>
      </c>
      <c r="I93" s="348">
        <f>'Total Rate Impact'!I92</f>
        <v>574392</v>
      </c>
      <c r="J93" s="270"/>
      <c r="K93" s="270">
        <f>ROUND(H93*I93,2)</f>
        <v>0</v>
      </c>
      <c r="L93" s="268"/>
      <c r="Q93" s="270"/>
      <c r="R93" s="270"/>
      <c r="S93" s="270"/>
    </row>
    <row r="94" spans="2:19" ht="12.75" customHeight="1">
      <c r="B94" s="598">
        <f t="shared" si="15"/>
        <v>84</v>
      </c>
      <c r="D94" s="316" t="s">
        <v>187</v>
      </c>
      <c r="E94" s="598"/>
      <c r="F94" s="277"/>
      <c r="G94" s="308"/>
      <c r="H94" s="269"/>
      <c r="I94" s="348"/>
      <c r="J94" s="270"/>
      <c r="K94" s="270"/>
      <c r="L94" s="268"/>
      <c r="Q94" s="270"/>
      <c r="R94" s="270"/>
      <c r="S94" s="270"/>
    </row>
    <row r="95" spans="2:19" ht="12.75" customHeight="1">
      <c r="B95" s="598">
        <f t="shared" si="15"/>
        <v>85</v>
      </c>
      <c r="D95" s="316" t="s">
        <v>308</v>
      </c>
      <c r="E95" s="598"/>
      <c r="F95" s="277">
        <v>0</v>
      </c>
      <c r="G95" s="308">
        <f>'Summary of Rates'!G87</f>
        <v>0</v>
      </c>
      <c r="H95" s="269">
        <f t="shared" si="16"/>
        <v>0</v>
      </c>
      <c r="I95" s="348">
        <f>'Total Rate Impact'!I94</f>
        <v>3684045.4891521856</v>
      </c>
      <c r="J95" s="270"/>
      <c r="K95" s="270">
        <f t="shared" ref="K95:K100" si="17">ROUND(H95*I95,2)</f>
        <v>0</v>
      </c>
      <c r="L95" s="268"/>
      <c r="Q95" s="270"/>
      <c r="R95" s="270"/>
      <c r="S95" s="270"/>
    </row>
    <row r="96" spans="2:19" ht="12.75" customHeight="1">
      <c r="B96" s="598">
        <f t="shared" si="15"/>
        <v>86</v>
      </c>
      <c r="D96" s="316" t="s">
        <v>309</v>
      </c>
      <c r="E96" s="598"/>
      <c r="F96" s="277">
        <v>0</v>
      </c>
      <c r="G96" s="308">
        <f>'Summary of Rates'!G88</f>
        <v>0</v>
      </c>
      <c r="H96" s="269">
        <f t="shared" si="16"/>
        <v>0</v>
      </c>
      <c r="I96" s="348">
        <f>'Total Rate Impact'!I95</f>
        <v>3651096.0015273923</v>
      </c>
      <c r="J96" s="270"/>
      <c r="K96" s="270">
        <f t="shared" si="17"/>
        <v>0</v>
      </c>
      <c r="L96" s="268"/>
      <c r="Q96" s="270"/>
      <c r="R96" s="270"/>
      <c r="S96" s="270"/>
    </row>
    <row r="97" spans="2:19" ht="12.75" customHeight="1">
      <c r="B97" s="598">
        <f t="shared" si="15"/>
        <v>87</v>
      </c>
      <c r="D97" s="316" t="s">
        <v>319</v>
      </c>
      <c r="E97" s="598"/>
      <c r="F97" s="277">
        <v>0</v>
      </c>
      <c r="G97" s="308">
        <f>'Summary of Rates'!G89</f>
        <v>0</v>
      </c>
      <c r="H97" s="269">
        <f t="shared" si="16"/>
        <v>0</v>
      </c>
      <c r="I97" s="348">
        <f>'Total Rate Impact'!I96</f>
        <v>7084885.7687931526</v>
      </c>
      <c r="J97" s="270"/>
      <c r="K97" s="270">
        <f t="shared" si="17"/>
        <v>0</v>
      </c>
      <c r="L97" s="268"/>
      <c r="Q97" s="270"/>
      <c r="R97" s="270"/>
      <c r="S97" s="270"/>
    </row>
    <row r="98" spans="2:19" ht="12.75" customHeight="1">
      <c r="B98" s="598">
        <f t="shared" si="15"/>
        <v>88</v>
      </c>
      <c r="D98" s="316" t="s">
        <v>267</v>
      </c>
      <c r="E98" s="598"/>
      <c r="F98" s="277">
        <v>0</v>
      </c>
      <c r="G98" s="308">
        <f>'Summary of Rates'!G90</f>
        <v>0</v>
      </c>
      <c r="H98" s="269">
        <f t="shared" si="16"/>
        <v>0</v>
      </c>
      <c r="I98" s="348">
        <f>'Total Rate Impact'!I97</f>
        <v>12940154.681795362</v>
      </c>
      <c r="J98" s="270"/>
      <c r="K98" s="270">
        <f t="shared" si="17"/>
        <v>0</v>
      </c>
      <c r="L98" s="268"/>
      <c r="Q98" s="270"/>
      <c r="R98" s="270"/>
      <c r="S98" s="270"/>
    </row>
    <row r="99" spans="2:19" ht="12.75" customHeight="1">
      <c r="B99" s="598">
        <f t="shared" si="15"/>
        <v>89</v>
      </c>
      <c r="D99" s="602" t="s">
        <v>268</v>
      </c>
      <c r="E99" s="598"/>
      <c r="F99" s="277">
        <v>0</v>
      </c>
      <c r="G99" s="308">
        <f>'Summary of Rates'!G91</f>
        <v>0</v>
      </c>
      <c r="H99" s="269">
        <f t="shared" si="16"/>
        <v>0</v>
      </c>
      <c r="I99" s="348">
        <f>'Total Rate Impact'!I98</f>
        <v>28710499.330322787</v>
      </c>
      <c r="J99" s="270"/>
      <c r="K99" s="270">
        <f t="shared" si="17"/>
        <v>0</v>
      </c>
      <c r="L99" s="268"/>
      <c r="Q99" s="270"/>
      <c r="R99" s="270"/>
      <c r="S99" s="270"/>
    </row>
    <row r="100" spans="2:19" ht="12.75" customHeight="1">
      <c r="B100" s="598">
        <f t="shared" si="15"/>
        <v>90</v>
      </c>
      <c r="D100" s="316" t="s">
        <v>320</v>
      </c>
      <c r="E100" s="598"/>
      <c r="F100" s="277">
        <v>0</v>
      </c>
      <c r="G100" s="308">
        <f>'Summary of Rates'!G92</f>
        <v>0</v>
      </c>
      <c r="H100" s="269">
        <f t="shared" si="16"/>
        <v>0</v>
      </c>
      <c r="I100" s="357">
        <f>'Total Rate Impact'!I99</f>
        <v>39455317.728409119</v>
      </c>
      <c r="J100" s="270"/>
      <c r="K100" s="272">
        <f t="shared" si="17"/>
        <v>0</v>
      </c>
      <c r="L100" s="268"/>
      <c r="Q100" s="270"/>
      <c r="R100" s="270"/>
      <c r="S100" s="270"/>
    </row>
    <row r="101" spans="2:19" ht="12.75" customHeight="1">
      <c r="B101" s="598">
        <f t="shared" si="15"/>
        <v>91</v>
      </c>
      <c r="D101" s="316" t="s">
        <v>143</v>
      </c>
      <c r="E101" s="598"/>
      <c r="F101" s="277"/>
      <c r="G101" s="297"/>
      <c r="H101" s="297"/>
      <c r="I101" s="267">
        <f>SUM(I95:I100)</f>
        <v>95525999</v>
      </c>
      <c r="J101" s="270">
        <f>'Rate Impact Rev'!O28</f>
        <v>5341515.8033254789</v>
      </c>
      <c r="K101" s="270">
        <f>SUM(K93:K100)</f>
        <v>0</v>
      </c>
      <c r="L101" s="268">
        <f>K101/J101</f>
        <v>0</v>
      </c>
      <c r="Q101" s="270"/>
      <c r="R101" s="270"/>
      <c r="S101" s="270"/>
    </row>
    <row r="102" spans="2:19" ht="12.75" customHeight="1">
      <c r="B102" s="598">
        <f t="shared" si="15"/>
        <v>92</v>
      </c>
      <c r="E102" s="598"/>
      <c r="F102" s="277"/>
      <c r="G102" s="297"/>
      <c r="H102" s="297"/>
      <c r="I102" s="267"/>
      <c r="J102" s="270"/>
      <c r="K102" s="270"/>
      <c r="L102" s="268"/>
      <c r="Q102" s="270"/>
      <c r="R102" s="270"/>
      <c r="S102" s="270"/>
    </row>
    <row r="103" spans="2:19" ht="12.75" customHeight="1">
      <c r="B103" s="598">
        <f t="shared" si="15"/>
        <v>93</v>
      </c>
      <c r="D103" s="316" t="s">
        <v>321</v>
      </c>
      <c r="E103" s="598" t="s">
        <v>322</v>
      </c>
      <c r="F103" s="277"/>
      <c r="G103" s="297"/>
      <c r="H103" s="297"/>
      <c r="I103" s="267"/>
      <c r="J103" s="270">
        <f>J89+J101</f>
        <v>15248091.735046182</v>
      </c>
      <c r="K103" s="270">
        <f>K89+K101</f>
        <v>0</v>
      </c>
      <c r="L103" s="268">
        <f>K103/J103</f>
        <v>0</v>
      </c>
      <c r="Q103" s="270"/>
      <c r="R103" s="270"/>
      <c r="S103" s="270"/>
    </row>
    <row r="104" spans="2:19" ht="12.75" customHeight="1">
      <c r="B104" s="598">
        <f t="shared" si="15"/>
        <v>94</v>
      </c>
      <c r="E104" s="598"/>
      <c r="F104" s="277"/>
      <c r="G104" s="297"/>
      <c r="H104" s="297"/>
      <c r="I104" s="267"/>
      <c r="J104" s="270"/>
      <c r="K104" s="270"/>
      <c r="L104" s="268"/>
      <c r="Q104" s="270"/>
      <c r="R104" s="270"/>
      <c r="S104" s="270"/>
    </row>
    <row r="105" spans="2:19" ht="12.75" customHeight="1">
      <c r="B105" s="598">
        <f t="shared" si="15"/>
        <v>95</v>
      </c>
      <c r="D105" s="316" t="s">
        <v>143</v>
      </c>
      <c r="E105" s="598"/>
      <c r="F105" s="297"/>
      <c r="G105" s="297"/>
      <c r="H105" s="297"/>
      <c r="I105" s="267">
        <f>I12+I14+I19+I28+I36+I48+I57+I67+I74+I89+I101</f>
        <v>1159941983.3322129</v>
      </c>
      <c r="J105" s="270">
        <f>J12+J14+J19+J28+J36+J48+J57+J67+J74+J89+J101</f>
        <v>902031592.11784625</v>
      </c>
      <c r="K105" s="270">
        <f>K12+K14+K19+K28+K36+K48+K57+K67+K74+K89+K101</f>
        <v>15780441.329999998</v>
      </c>
      <c r="L105" s="268">
        <f>K105/J105</f>
        <v>1.7494333311486008E-2</v>
      </c>
      <c r="Q105" s="270"/>
      <c r="R105" s="270"/>
      <c r="S105" s="270"/>
    </row>
    <row r="106" spans="2:19" ht="12.75" customHeight="1">
      <c r="R106" s="270"/>
    </row>
    <row r="107" spans="2:19" ht="12.75" customHeight="1">
      <c r="B107" s="276"/>
      <c r="C107" s="315"/>
      <c r="D107" s="601"/>
      <c r="R107" s="270"/>
    </row>
    <row r="108" spans="2:19" ht="12.75" customHeight="1">
      <c r="B108" s="276"/>
      <c r="C108" s="628"/>
      <c r="D108" s="629"/>
      <c r="E108" s="629"/>
      <c r="F108" s="629"/>
      <c r="G108" s="629"/>
      <c r="H108" s="629"/>
      <c r="I108" s="629"/>
      <c r="J108" s="629"/>
      <c r="K108" s="629"/>
      <c r="L108" s="629"/>
      <c r="R108" s="270"/>
    </row>
    <row r="109" spans="2:19">
      <c r="C109" s="315"/>
      <c r="R109" s="270"/>
    </row>
    <row r="110" spans="2:19">
      <c r="R110" s="270"/>
    </row>
    <row r="111" spans="2:19">
      <c r="R111" s="270"/>
    </row>
    <row r="112" spans="2:19">
      <c r="R112" s="270"/>
    </row>
    <row r="113" spans="18:18">
      <c r="R113" s="270"/>
    </row>
    <row r="114" spans="18:18">
      <c r="R114" s="270"/>
    </row>
    <row r="115" spans="18:18">
      <c r="R115" s="270"/>
    </row>
    <row r="116" spans="18:18">
      <c r="R116" s="270"/>
    </row>
    <row r="117" spans="18:18">
      <c r="R117" s="270"/>
    </row>
    <row r="118" spans="18:18">
      <c r="R118" s="270"/>
    </row>
    <row r="119" spans="18:18">
      <c r="R119" s="270"/>
    </row>
    <row r="120" spans="18:18">
      <c r="R120" s="270"/>
    </row>
    <row r="121" spans="18:18">
      <c r="R121" s="270"/>
    </row>
    <row r="122" spans="18:18">
      <c r="R122" s="270"/>
    </row>
    <row r="123" spans="18:18">
      <c r="R123" s="270"/>
    </row>
    <row r="124" spans="18:18">
      <c r="R124" s="270"/>
    </row>
    <row r="125" spans="18:18">
      <c r="R125" s="270"/>
    </row>
    <row r="126" spans="18:18">
      <c r="R126" s="270"/>
    </row>
    <row r="127" spans="18:18">
      <c r="R127" s="270"/>
    </row>
    <row r="128" spans="18:18">
      <c r="R128" s="270"/>
    </row>
    <row r="129" spans="18:18">
      <c r="R129" s="270"/>
    </row>
    <row r="130" spans="18:18">
      <c r="R130" s="270"/>
    </row>
    <row r="131" spans="18:18">
      <c r="R131" s="270"/>
    </row>
    <row r="132" spans="18:18">
      <c r="R132" s="270"/>
    </row>
    <row r="133" spans="18:18">
      <c r="R133" s="270"/>
    </row>
    <row r="134" spans="18:18">
      <c r="R134" s="270"/>
    </row>
    <row r="135" spans="18:18">
      <c r="R135" s="270"/>
    </row>
    <row r="136" spans="18:18">
      <c r="R136" s="270"/>
    </row>
    <row r="137" spans="18:18">
      <c r="R137" s="270"/>
    </row>
    <row r="138" spans="18:18">
      <c r="R138" s="270"/>
    </row>
    <row r="139" spans="18:18">
      <c r="R139" s="270"/>
    </row>
    <row r="140" spans="18:18">
      <c r="R140" s="270"/>
    </row>
    <row r="141" spans="18:18">
      <c r="R141" s="270"/>
    </row>
    <row r="142" spans="18:18">
      <c r="R142" s="270"/>
    </row>
    <row r="143" spans="18:18">
      <c r="R143" s="270"/>
    </row>
    <row r="144" spans="18:18">
      <c r="R144" s="270"/>
    </row>
    <row r="145" spans="18:18">
      <c r="R145" s="270"/>
    </row>
  </sheetData>
  <mergeCells count="5">
    <mergeCell ref="B2:L2"/>
    <mergeCell ref="B3:L3"/>
    <mergeCell ref="B4:L4"/>
    <mergeCell ref="C9:D9"/>
    <mergeCell ref="C108:L108"/>
  </mergeCells>
  <printOptions horizontalCentered="1"/>
  <pageMargins left="0.7" right="0.7" top="0.75" bottom="0.75" header="0.3" footer="0.3"/>
  <pageSetup scale="79"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B1:S145"/>
  <sheetViews>
    <sheetView zoomScale="56" workbookViewId="0">
      <selection activeCell="I68" sqref="I68"/>
    </sheetView>
  </sheetViews>
  <sheetFormatPr baseColWidth="10" defaultColWidth="9.1640625" defaultRowHeight="13"/>
  <cols>
    <col min="1" max="1" width="2.33203125" style="316" customWidth="1"/>
    <col min="2" max="2" width="5.33203125" style="316" customWidth="1"/>
    <col min="3" max="3" width="2.33203125" style="316" customWidth="1"/>
    <col min="4" max="4" width="28.1640625" style="316" bestFit="1" customWidth="1"/>
    <col min="5" max="5" width="11.33203125" style="316" customWidth="1"/>
    <col min="6" max="8" width="11.6640625" style="316" customWidth="1"/>
    <col min="9" max="9" width="15.5" style="316" customWidth="1"/>
    <col min="10" max="10" width="15.33203125" style="316" bestFit="1" customWidth="1"/>
    <col min="11" max="11" width="12.33203125" style="316" customWidth="1"/>
    <col min="12" max="12" width="9" style="316" customWidth="1"/>
    <col min="13" max="14" width="10.5" style="316" customWidth="1"/>
    <col min="15" max="16" width="9.1640625" style="316"/>
    <col min="17" max="18" width="11.33203125" style="316" bestFit="1" customWidth="1"/>
    <col min="19" max="19" width="9.6640625" style="316" bestFit="1" customWidth="1"/>
    <col min="20" max="16384" width="9.1640625" style="316"/>
  </cols>
  <sheetData>
    <row r="1" spans="2:19" ht="12.75" customHeight="1">
      <c r="B1" s="258" t="s">
        <v>22</v>
      </c>
      <c r="C1" s="258"/>
      <c r="D1" s="258"/>
      <c r="E1" s="258"/>
      <c r="F1" s="258"/>
      <c r="G1" s="258"/>
      <c r="H1" s="258"/>
      <c r="I1" s="258"/>
      <c r="J1" s="258"/>
      <c r="K1" s="258"/>
      <c r="L1" s="258"/>
      <c r="M1" s="259"/>
      <c r="N1" s="259"/>
    </row>
    <row r="2" spans="2:19" ht="12.75" customHeight="1">
      <c r="B2" s="619" t="str">
        <f>'Rate Change Calc'!A2</f>
        <v>2016 Gas Decoupling Filing</v>
      </c>
      <c r="C2" s="619"/>
      <c r="D2" s="619"/>
      <c r="E2" s="619"/>
      <c r="F2" s="619"/>
      <c r="G2" s="619"/>
      <c r="H2" s="619"/>
      <c r="I2" s="619"/>
      <c r="J2" s="619"/>
      <c r="K2" s="619"/>
      <c r="L2" s="619"/>
      <c r="M2" s="259"/>
      <c r="N2" s="259"/>
    </row>
    <row r="3" spans="2:19" ht="12.75" customHeight="1">
      <c r="B3" s="626" t="s">
        <v>323</v>
      </c>
      <c r="C3" s="626"/>
      <c r="D3" s="626"/>
      <c r="E3" s="626"/>
      <c r="F3" s="626"/>
      <c r="G3" s="626"/>
      <c r="H3" s="626"/>
      <c r="I3" s="626"/>
      <c r="J3" s="626"/>
      <c r="K3" s="626"/>
      <c r="L3" s="626"/>
      <c r="M3" s="259"/>
      <c r="N3" s="259"/>
    </row>
    <row r="4" spans="2:19" ht="12.75" customHeight="1">
      <c r="B4" s="619" t="str">
        <f>'Rate Change Calc'!A4</f>
        <v>Proposed Effective May 1, 2016</v>
      </c>
      <c r="C4" s="619"/>
      <c r="D4" s="619"/>
      <c r="E4" s="619"/>
      <c r="F4" s="619"/>
      <c r="G4" s="619"/>
      <c r="H4" s="619"/>
      <c r="I4" s="619"/>
      <c r="J4" s="619"/>
      <c r="K4" s="619"/>
      <c r="L4" s="619"/>
      <c r="M4" s="259"/>
      <c r="N4" s="259"/>
    </row>
    <row r="5" spans="2:19" ht="12.75" customHeight="1">
      <c r="B5" s="261"/>
      <c r="C5" s="261"/>
      <c r="D5" s="261"/>
      <c r="E5" s="261"/>
      <c r="F5" s="261"/>
      <c r="G5" s="261"/>
      <c r="H5" s="261"/>
      <c r="I5" s="261"/>
      <c r="J5" s="261"/>
      <c r="K5" s="261"/>
      <c r="L5" s="261"/>
      <c r="M5" s="259"/>
      <c r="N5" s="259"/>
    </row>
    <row r="6" spans="2:19" ht="12.75" customHeight="1">
      <c r="B6" s="261"/>
      <c r="C6" s="261"/>
      <c r="D6" s="261"/>
      <c r="E6" s="261"/>
      <c r="F6" s="392" t="s">
        <v>273</v>
      </c>
      <c r="G6" s="392" t="s">
        <v>273</v>
      </c>
      <c r="H6" s="392" t="s">
        <v>273</v>
      </c>
      <c r="I6" s="261"/>
      <c r="J6" s="261"/>
      <c r="K6" s="598" t="s">
        <v>274</v>
      </c>
      <c r="L6" s="261"/>
      <c r="M6" s="259"/>
      <c r="N6" s="259"/>
    </row>
    <row r="7" spans="2:19" ht="12.75" customHeight="1">
      <c r="E7" s="598"/>
      <c r="F7" s="392" t="s">
        <v>255</v>
      </c>
      <c r="G7" s="392" t="s">
        <v>255</v>
      </c>
      <c r="H7" s="392" t="s">
        <v>255</v>
      </c>
      <c r="I7" s="598" t="s">
        <v>276</v>
      </c>
      <c r="J7" s="262"/>
      <c r="K7" s="392" t="s">
        <v>255</v>
      </c>
      <c r="L7" s="598"/>
    </row>
    <row r="8" spans="2:19" ht="12.75" customHeight="1">
      <c r="B8" s="598" t="s">
        <v>168</v>
      </c>
      <c r="E8" s="598" t="s">
        <v>277</v>
      </c>
      <c r="F8" s="392" t="s">
        <v>278</v>
      </c>
      <c r="G8" s="392" t="s">
        <v>279</v>
      </c>
      <c r="H8" s="392" t="s">
        <v>280</v>
      </c>
      <c r="I8" s="598" t="s">
        <v>281</v>
      </c>
      <c r="J8" s="263" t="s">
        <v>282</v>
      </c>
      <c r="K8" s="598" t="s">
        <v>283</v>
      </c>
      <c r="L8" s="598" t="s">
        <v>284</v>
      </c>
    </row>
    <row r="9" spans="2:19" ht="12.75" customHeight="1">
      <c r="B9" s="600" t="s">
        <v>285</v>
      </c>
      <c r="C9" s="627" t="s">
        <v>286</v>
      </c>
      <c r="D9" s="627"/>
      <c r="E9" s="600" t="s">
        <v>287</v>
      </c>
      <c r="F9" s="264" t="s">
        <v>174</v>
      </c>
      <c r="G9" s="264" t="s">
        <v>174</v>
      </c>
      <c r="H9" s="264" t="s">
        <v>288</v>
      </c>
      <c r="I9" s="600" t="str">
        <f>'Total Rate Impact'!I8</f>
        <v>YE Apr 2017</v>
      </c>
      <c r="J9" s="264" t="s">
        <v>289</v>
      </c>
      <c r="K9" s="600" t="s">
        <v>290</v>
      </c>
      <c r="L9" s="600" t="s">
        <v>288</v>
      </c>
      <c r="M9" s="265"/>
      <c r="N9" s="266"/>
    </row>
    <row r="10" spans="2:19" ht="12.75" customHeight="1">
      <c r="B10" s="265"/>
      <c r="C10" s="262"/>
      <c r="D10" s="262" t="s">
        <v>30</v>
      </c>
      <c r="E10" s="262" t="s">
        <v>31</v>
      </c>
      <c r="F10" s="263" t="s">
        <v>32</v>
      </c>
      <c r="G10" s="263" t="s">
        <v>33</v>
      </c>
      <c r="H10" s="263" t="s">
        <v>145</v>
      </c>
      <c r="I10" s="263" t="s">
        <v>291</v>
      </c>
      <c r="J10" s="263" t="s">
        <v>292</v>
      </c>
      <c r="K10" s="263" t="s">
        <v>293</v>
      </c>
      <c r="L10" s="263" t="s">
        <v>294</v>
      </c>
      <c r="M10" s="265"/>
      <c r="N10" s="266"/>
    </row>
    <row r="11" spans="2:19" ht="12.75" customHeight="1">
      <c r="B11" s="598">
        <v>1</v>
      </c>
      <c r="C11" s="262"/>
      <c r="D11" s="262"/>
      <c r="E11" s="262"/>
      <c r="F11" s="263"/>
      <c r="G11" s="263"/>
      <c r="H11" s="263"/>
      <c r="I11" s="262"/>
      <c r="J11" s="263"/>
      <c r="K11" s="262"/>
      <c r="L11" s="262"/>
      <c r="M11" s="265"/>
      <c r="N11" s="266"/>
    </row>
    <row r="12" spans="2:19" ht="12.75" customHeight="1">
      <c r="B12" s="598">
        <f>B11+1</f>
        <v>2</v>
      </c>
      <c r="C12" s="316" t="s">
        <v>28</v>
      </c>
      <c r="E12" s="598" t="s">
        <v>295</v>
      </c>
      <c r="F12" s="277">
        <v>1.9570000000000001E-2</v>
      </c>
      <c r="G12" s="308">
        <f>'Summary of Rates'!H11</f>
        <v>3.2769999999999994E-2</v>
      </c>
      <c r="H12" s="269">
        <f t="shared" ref="H12:H35" si="0">G12-F12</f>
        <v>1.3199999999999993E-2</v>
      </c>
      <c r="I12" s="348">
        <f>'Total Rate Impact'!I11</f>
        <v>619608589</v>
      </c>
      <c r="J12" s="358">
        <f>'Rate Impact Rev'!O12</f>
        <v>618702290.63182127</v>
      </c>
      <c r="K12" s="270">
        <f>ROUND(H12*I12,2)</f>
        <v>8178833.3700000001</v>
      </c>
      <c r="L12" s="268">
        <f>K12/J12</f>
        <v>1.3219335848341118E-2</v>
      </c>
      <c r="N12" s="266"/>
      <c r="Q12" s="270"/>
      <c r="R12" s="270"/>
      <c r="S12" s="270"/>
    </row>
    <row r="13" spans="2:19" ht="12.75" customHeight="1">
      <c r="B13" s="598">
        <f t="shared" ref="B13:B83" si="1">B12+1</f>
        <v>3</v>
      </c>
      <c r="E13" s="598"/>
      <c r="F13" s="277"/>
      <c r="G13" s="308"/>
      <c r="H13" s="269"/>
      <c r="I13" s="356"/>
      <c r="J13" s="358"/>
      <c r="K13" s="270"/>
      <c r="L13" s="268"/>
      <c r="Q13" s="270"/>
      <c r="R13" s="270"/>
      <c r="S13" s="270"/>
    </row>
    <row r="14" spans="2:19" ht="12.75" customHeight="1">
      <c r="B14" s="598">
        <f t="shared" si="1"/>
        <v>4</v>
      </c>
      <c r="C14" s="316" t="s">
        <v>296</v>
      </c>
      <c r="E14" s="598">
        <v>31</v>
      </c>
      <c r="F14" s="277">
        <v>1.1670000000000014E-2</v>
      </c>
      <c r="G14" s="308">
        <f>'Summary of Rates'!H17</f>
        <v>1.6570000000000029E-2</v>
      </c>
      <c r="H14" s="269">
        <f t="shared" si="0"/>
        <v>4.9000000000000155E-3</v>
      </c>
      <c r="I14" s="348">
        <f>'Total Rate Impact'!I13</f>
        <v>226133776</v>
      </c>
      <c r="J14" s="358">
        <f>'Rate Impact Rev'!O14</f>
        <v>197689818.08888403</v>
      </c>
      <c r="K14" s="270">
        <f>ROUND(H14*I14,2)</f>
        <v>1108055.5</v>
      </c>
      <c r="L14" s="268">
        <f>K14/J14</f>
        <v>5.6050205858442503E-3</v>
      </c>
      <c r="N14" s="266"/>
      <c r="Q14" s="270"/>
      <c r="R14" s="270"/>
      <c r="S14" s="270"/>
    </row>
    <row r="15" spans="2:19" ht="12.75" customHeight="1">
      <c r="B15" s="598">
        <f t="shared" si="1"/>
        <v>5</v>
      </c>
      <c r="E15" s="598"/>
      <c r="F15" s="277"/>
      <c r="G15" s="308"/>
      <c r="H15" s="269"/>
      <c r="I15" s="348"/>
      <c r="J15" s="358"/>
      <c r="K15" s="270"/>
      <c r="L15" s="268"/>
      <c r="N15" s="266"/>
      <c r="Q15" s="270"/>
      <c r="R15" s="270"/>
      <c r="S15" s="270"/>
    </row>
    <row r="16" spans="2:19" ht="12.75" customHeight="1">
      <c r="B16" s="598">
        <f t="shared" si="1"/>
        <v>6</v>
      </c>
      <c r="C16" s="316" t="s">
        <v>297</v>
      </c>
      <c r="E16" s="598" t="s">
        <v>241</v>
      </c>
      <c r="F16" s="277"/>
      <c r="G16" s="308"/>
      <c r="H16" s="269"/>
      <c r="I16" s="348"/>
      <c r="J16" s="358"/>
      <c r="K16" s="270"/>
      <c r="L16" s="268"/>
      <c r="N16" s="266"/>
      <c r="Q16" s="270"/>
      <c r="R16" s="270"/>
      <c r="S16" s="270"/>
    </row>
    <row r="17" spans="2:19" ht="12.75" customHeight="1">
      <c r="B17" s="598">
        <f t="shared" si="1"/>
        <v>7</v>
      </c>
      <c r="D17" s="316" t="s">
        <v>181</v>
      </c>
      <c r="E17" s="598"/>
      <c r="F17" s="277">
        <v>1.167E-2</v>
      </c>
      <c r="G17" s="308">
        <f>'Summary of Rates'!H20</f>
        <v>1.6570000000000029E-2</v>
      </c>
      <c r="H17" s="269">
        <f t="shared" ref="H17:H18" si="2">G17-F17</f>
        <v>4.9000000000000293E-3</v>
      </c>
      <c r="I17" s="466">
        <v>26158</v>
      </c>
      <c r="J17" s="358"/>
      <c r="K17" s="270">
        <f>ROUND(H17*I17,2)</f>
        <v>128.16999999999999</v>
      </c>
      <c r="L17" s="268"/>
      <c r="N17" s="266"/>
      <c r="Q17" s="270"/>
      <c r="R17" s="270"/>
      <c r="S17" s="270"/>
    </row>
    <row r="18" spans="2:19" ht="12.75" customHeight="1">
      <c r="B18" s="598">
        <f t="shared" si="1"/>
        <v>8</v>
      </c>
      <c r="D18" s="316" t="s">
        <v>184</v>
      </c>
      <c r="E18" s="598"/>
      <c r="F18" s="277">
        <v>-2.0000000000000001E-4</v>
      </c>
      <c r="G18" s="308">
        <f>'Summary of Rates'!H21</f>
        <v>-2.9999999999999992E-4</v>
      </c>
      <c r="H18" s="269">
        <f t="shared" si="2"/>
        <v>-9.999999999999991E-5</v>
      </c>
      <c r="I18" s="467">
        <v>26158</v>
      </c>
      <c r="J18" s="358"/>
      <c r="K18" s="272">
        <f>ROUND(H18*I18,2)</f>
        <v>-2.62</v>
      </c>
      <c r="L18" s="268"/>
      <c r="N18" s="266"/>
      <c r="Q18" s="270"/>
      <c r="R18" s="270"/>
      <c r="S18" s="270"/>
    </row>
    <row r="19" spans="2:19" ht="12.75" customHeight="1">
      <c r="B19" s="598">
        <f t="shared" si="1"/>
        <v>9</v>
      </c>
      <c r="D19" s="316" t="s">
        <v>143</v>
      </c>
      <c r="E19" s="598"/>
      <c r="F19" s="277"/>
      <c r="G19" s="308"/>
      <c r="H19" s="269"/>
      <c r="I19" s="267">
        <f>I17</f>
        <v>26158</v>
      </c>
      <c r="J19" s="358">
        <f>'Rate Impact Rev'!O16</f>
        <v>12436.722595214333</v>
      </c>
      <c r="K19" s="270">
        <f>SUM(K17:K18)</f>
        <v>125.54999999999998</v>
      </c>
      <c r="L19" s="268">
        <f>K19/J19</f>
        <v>1.0095103355309363E-2</v>
      </c>
      <c r="N19" s="266"/>
      <c r="Q19" s="270"/>
      <c r="R19" s="270"/>
      <c r="S19" s="270"/>
    </row>
    <row r="20" spans="2:19" ht="12.75" customHeight="1">
      <c r="B20" s="598">
        <f t="shared" si="1"/>
        <v>10</v>
      </c>
      <c r="E20" s="598"/>
      <c r="F20" s="277"/>
      <c r="G20" s="308"/>
      <c r="H20" s="269"/>
      <c r="I20" s="267"/>
      <c r="J20" s="358"/>
      <c r="K20" s="270"/>
      <c r="L20" s="268"/>
      <c r="N20" s="266"/>
      <c r="Q20" s="270"/>
      <c r="R20" s="270"/>
      <c r="S20" s="270"/>
    </row>
    <row r="21" spans="2:19" ht="12.75" customHeight="1">
      <c r="B21" s="598">
        <f t="shared" si="1"/>
        <v>11</v>
      </c>
      <c r="D21" s="316" t="s">
        <v>298</v>
      </c>
      <c r="E21" s="598" t="s">
        <v>299</v>
      </c>
      <c r="F21" s="277"/>
      <c r="G21" s="308"/>
      <c r="H21" s="269"/>
      <c r="I21" s="267">
        <f>I14+I19</f>
        <v>226159934</v>
      </c>
      <c r="J21" s="270">
        <f>J14+J19</f>
        <v>197702254.81147924</v>
      </c>
      <c r="K21" s="270">
        <f>K14+K19</f>
        <v>1108181.05</v>
      </c>
      <c r="L21" s="268">
        <f>K21/J21</f>
        <v>5.6053030404570551E-3</v>
      </c>
      <c r="N21" s="266"/>
      <c r="Q21" s="270"/>
      <c r="R21" s="270"/>
      <c r="S21" s="270"/>
    </row>
    <row r="22" spans="2:19" ht="12.75" customHeight="1">
      <c r="B22" s="598">
        <f t="shared" si="1"/>
        <v>12</v>
      </c>
      <c r="E22" s="598"/>
      <c r="F22" s="277"/>
      <c r="G22" s="308"/>
      <c r="H22" s="269"/>
      <c r="I22" s="356"/>
      <c r="J22" s="358"/>
      <c r="K22" s="270"/>
      <c r="L22" s="268"/>
      <c r="Q22" s="270"/>
      <c r="R22" s="270"/>
      <c r="S22" s="270"/>
    </row>
    <row r="23" spans="2:19" ht="12.75" customHeight="1">
      <c r="B23" s="598">
        <f t="shared" si="1"/>
        <v>13</v>
      </c>
      <c r="C23" s="316" t="s">
        <v>300</v>
      </c>
      <c r="E23" s="598">
        <v>41</v>
      </c>
      <c r="F23" s="277"/>
      <c r="G23" s="308"/>
      <c r="H23" s="269"/>
      <c r="I23" s="348"/>
      <c r="J23" s="358"/>
      <c r="K23" s="270"/>
      <c r="L23" s="268"/>
      <c r="N23" s="266"/>
      <c r="Q23" s="270"/>
      <c r="R23" s="270"/>
      <c r="S23" s="270"/>
    </row>
    <row r="24" spans="2:19" ht="12.75" customHeight="1">
      <c r="B24" s="598">
        <f t="shared" si="1"/>
        <v>14</v>
      </c>
      <c r="D24" s="316" t="s">
        <v>186</v>
      </c>
      <c r="E24" s="598"/>
      <c r="F24" s="426">
        <v>4.0000000000000036E-2</v>
      </c>
      <c r="G24" s="427">
        <f>'Summary of Rates'!H24</f>
        <v>6.0000000000000053E-2</v>
      </c>
      <c r="H24" s="355">
        <f t="shared" si="0"/>
        <v>2.0000000000000018E-2</v>
      </c>
      <c r="I24" s="348">
        <f>'Total Rate Impact'!I23</f>
        <v>3682886</v>
      </c>
      <c r="J24" s="358"/>
      <c r="K24" s="270">
        <f>ROUND(H24*I24,2)</f>
        <v>73657.72</v>
      </c>
      <c r="L24" s="268"/>
      <c r="N24" s="266"/>
      <c r="Q24" s="270"/>
      <c r="R24" s="270"/>
      <c r="S24" s="270"/>
    </row>
    <row r="25" spans="2:19" ht="12.75" customHeight="1">
      <c r="B25" s="598">
        <f t="shared" si="1"/>
        <v>15</v>
      </c>
      <c r="D25" s="316" t="s">
        <v>187</v>
      </c>
      <c r="E25" s="598"/>
      <c r="F25" s="277"/>
      <c r="G25" s="308"/>
      <c r="H25" s="269"/>
      <c r="I25" s="348"/>
      <c r="J25" s="358"/>
      <c r="K25" s="270"/>
      <c r="L25" s="268"/>
      <c r="N25" s="266"/>
      <c r="Q25" s="270"/>
      <c r="R25" s="270"/>
      <c r="S25" s="270"/>
    </row>
    <row r="26" spans="2:19" ht="12.75" customHeight="1">
      <c r="B26" s="598">
        <f t="shared" si="1"/>
        <v>16</v>
      </c>
      <c r="D26" s="316" t="s">
        <v>301</v>
      </c>
      <c r="E26" s="598"/>
      <c r="F26" s="277">
        <v>5.2699999999999969E-3</v>
      </c>
      <c r="G26" s="308">
        <f>'Summary of Rates'!H34</f>
        <v>7.4899999999999967E-3</v>
      </c>
      <c r="H26" s="269">
        <f t="shared" si="0"/>
        <v>2.2199999999999998E-3</v>
      </c>
      <c r="I26" s="348">
        <f>'Total Rate Impact'!I25</f>
        <v>32802787.789709222</v>
      </c>
      <c r="J26" s="358"/>
      <c r="K26" s="270">
        <f>ROUND(H26*I26,2)</f>
        <v>72822.19</v>
      </c>
      <c r="L26" s="268"/>
      <c r="N26" s="266"/>
      <c r="Q26" s="270"/>
      <c r="R26" s="270"/>
      <c r="S26" s="270"/>
    </row>
    <row r="27" spans="2:19" ht="12.75" customHeight="1">
      <c r="B27" s="598">
        <f t="shared" si="1"/>
        <v>17</v>
      </c>
      <c r="D27" s="316" t="s">
        <v>302</v>
      </c>
      <c r="E27" s="598"/>
      <c r="F27" s="277">
        <v>4.2399999999999938E-3</v>
      </c>
      <c r="G27" s="308">
        <f>'Summary of Rates'!H35</f>
        <v>6.0299999999999937E-3</v>
      </c>
      <c r="H27" s="269">
        <f t="shared" si="0"/>
        <v>1.7899999999999999E-3</v>
      </c>
      <c r="I27" s="357">
        <f>'Total Rate Impact'!I26</f>
        <v>23991085.120635759</v>
      </c>
      <c r="J27" s="358"/>
      <c r="K27" s="272">
        <f>ROUND(H27*I27,2)</f>
        <v>42944.04</v>
      </c>
      <c r="L27" s="268"/>
      <c r="N27" s="266"/>
      <c r="Q27" s="270"/>
      <c r="R27" s="270"/>
      <c r="S27" s="270"/>
    </row>
    <row r="28" spans="2:19" ht="12.75" customHeight="1">
      <c r="B28" s="598">
        <f t="shared" si="1"/>
        <v>18</v>
      </c>
      <c r="D28" s="316" t="s">
        <v>143</v>
      </c>
      <c r="E28" s="598"/>
      <c r="F28" s="277"/>
      <c r="G28" s="308"/>
      <c r="H28" s="269"/>
      <c r="I28" s="267">
        <f>SUM(I26:I27)</f>
        <v>56793872.910344981</v>
      </c>
      <c r="J28" s="358">
        <f>'Rate Impact Rev'!O18</f>
        <v>41153356.735245839</v>
      </c>
      <c r="K28" s="270">
        <f>SUM(K24:K27)</f>
        <v>189423.95</v>
      </c>
      <c r="L28" s="268">
        <f t="shared" ref="L28" si="3">K28/J28</f>
        <v>4.6028796926246276E-3</v>
      </c>
      <c r="N28" s="266"/>
      <c r="Q28" s="270"/>
      <c r="R28" s="270"/>
      <c r="S28" s="270"/>
    </row>
    <row r="29" spans="2:19" ht="12.75" customHeight="1">
      <c r="B29" s="598">
        <f t="shared" si="1"/>
        <v>19</v>
      </c>
      <c r="E29" s="598"/>
      <c r="F29" s="277"/>
      <c r="G29" s="308"/>
      <c r="H29" s="269"/>
      <c r="J29" s="358"/>
      <c r="K29" s="270"/>
      <c r="L29" s="268"/>
      <c r="Q29" s="270"/>
      <c r="R29" s="270"/>
      <c r="S29" s="270"/>
    </row>
    <row r="30" spans="2:19" ht="12.75" customHeight="1">
      <c r="B30" s="598">
        <f t="shared" si="1"/>
        <v>20</v>
      </c>
      <c r="C30" s="316" t="s">
        <v>303</v>
      </c>
      <c r="E30" s="598" t="s">
        <v>242</v>
      </c>
      <c r="F30" s="277"/>
      <c r="G30" s="308"/>
      <c r="H30" s="269"/>
      <c r="I30" s="267"/>
      <c r="J30" s="358"/>
      <c r="K30" s="270"/>
      <c r="L30" s="268"/>
      <c r="Q30" s="270"/>
      <c r="R30" s="270"/>
      <c r="S30" s="270"/>
    </row>
    <row r="31" spans="2:19" ht="12.75" customHeight="1">
      <c r="B31" s="598">
        <f t="shared" si="1"/>
        <v>21</v>
      </c>
      <c r="D31" s="316" t="s">
        <v>186</v>
      </c>
      <c r="E31" s="598"/>
      <c r="F31" s="426">
        <v>4.0000000000000036E-2</v>
      </c>
      <c r="G31" s="427">
        <f>'Summary of Rates'!H31</f>
        <v>6.0000000000000053E-2</v>
      </c>
      <c r="H31" s="355">
        <f t="shared" si="0"/>
        <v>2.0000000000000018E-2</v>
      </c>
      <c r="I31" s="348">
        <f>'Total Rate Impact'!I30</f>
        <v>1714678</v>
      </c>
      <c r="J31" s="358"/>
      <c r="K31" s="270">
        <f>ROUND(H31*I31,2)</f>
        <v>34293.56</v>
      </c>
      <c r="L31" s="268"/>
      <c r="Q31" s="270"/>
      <c r="R31" s="270"/>
      <c r="S31" s="270"/>
    </row>
    <row r="32" spans="2:19" ht="12.75" customHeight="1">
      <c r="B32" s="598">
        <f t="shared" si="1"/>
        <v>22</v>
      </c>
      <c r="D32" s="316" t="s">
        <v>184</v>
      </c>
      <c r="E32" s="598"/>
      <c r="F32" s="277">
        <v>-2.0000000000000052E-4</v>
      </c>
      <c r="G32" s="308">
        <f>'Summary of Rates'!H37</f>
        <v>-2.9999999999999992E-4</v>
      </c>
      <c r="H32" s="269">
        <f>G32-F32</f>
        <v>-9.9999999999999395E-5</v>
      </c>
      <c r="I32" s="348">
        <f>'Total Rate Impact'!I31</f>
        <v>23136584</v>
      </c>
      <c r="J32" s="358"/>
      <c r="K32" s="270">
        <f>ROUND(H32*I32,2)</f>
        <v>-2313.66</v>
      </c>
      <c r="L32" s="268"/>
      <c r="Q32" s="270"/>
      <c r="R32" s="270"/>
      <c r="S32" s="270"/>
    </row>
    <row r="33" spans="2:19" ht="12.75" customHeight="1">
      <c r="B33" s="598">
        <f t="shared" si="1"/>
        <v>23</v>
      </c>
      <c r="D33" s="316" t="s">
        <v>187</v>
      </c>
      <c r="E33" s="598"/>
      <c r="F33" s="277"/>
      <c r="G33" s="308"/>
      <c r="H33" s="269"/>
      <c r="I33" s="348"/>
      <c r="J33" s="358"/>
      <c r="K33" s="270"/>
      <c r="L33" s="268"/>
      <c r="Q33" s="270"/>
      <c r="R33" s="270"/>
      <c r="S33" s="270"/>
    </row>
    <row r="34" spans="2:19" ht="12.75" customHeight="1">
      <c r="B34" s="598">
        <f t="shared" si="1"/>
        <v>24</v>
      </c>
      <c r="D34" s="316" t="s">
        <v>301</v>
      </c>
      <c r="E34" s="598"/>
      <c r="F34" s="277">
        <v>5.2699999999999969E-3</v>
      </c>
      <c r="G34" s="308">
        <f>'Summary of Rates'!H34</f>
        <v>7.4899999999999967E-3</v>
      </c>
      <c r="H34" s="269">
        <f t="shared" si="0"/>
        <v>2.2199999999999998E-3</v>
      </c>
      <c r="I34" s="348">
        <f>'Total Rate Impact'!I33</f>
        <v>5355163.5948174866</v>
      </c>
      <c r="J34" s="358"/>
      <c r="K34" s="270">
        <f>ROUND(H34*I34,2)</f>
        <v>11888.46</v>
      </c>
      <c r="L34" s="268"/>
      <c r="Q34" s="270"/>
      <c r="R34" s="270"/>
      <c r="S34" s="270"/>
    </row>
    <row r="35" spans="2:19" ht="12.75" customHeight="1">
      <c r="B35" s="598">
        <f t="shared" si="1"/>
        <v>25</v>
      </c>
      <c r="D35" s="316" t="s">
        <v>302</v>
      </c>
      <c r="E35" s="598"/>
      <c r="F35" s="277">
        <v>4.2399999999999938E-3</v>
      </c>
      <c r="G35" s="308">
        <f>'Summary of Rates'!H35</f>
        <v>6.0299999999999937E-3</v>
      </c>
      <c r="H35" s="269">
        <f t="shared" si="0"/>
        <v>1.7899999999999999E-3</v>
      </c>
      <c r="I35" s="357">
        <f>'Total Rate Impact'!I34</f>
        <v>16354492.827050379</v>
      </c>
      <c r="J35" s="358"/>
      <c r="K35" s="272">
        <f>ROUND(H35*I35,2)</f>
        <v>29274.54</v>
      </c>
      <c r="L35" s="268"/>
      <c r="Q35" s="270"/>
      <c r="R35" s="270"/>
      <c r="S35" s="270"/>
    </row>
    <row r="36" spans="2:19" ht="12.75" customHeight="1">
      <c r="B36" s="598">
        <f t="shared" si="1"/>
        <v>26</v>
      </c>
      <c r="D36" s="316" t="s">
        <v>143</v>
      </c>
      <c r="E36" s="598"/>
      <c r="F36" s="277"/>
      <c r="G36" s="308"/>
      <c r="H36" s="297"/>
      <c r="I36" s="267">
        <f>SUM(I34:I35)</f>
        <v>21709656.421867866</v>
      </c>
      <c r="J36" s="358">
        <f>'Rate Impact Rev'!O19</f>
        <v>5198949.3903032374</v>
      </c>
      <c r="K36" s="270">
        <f>SUM(K31:K35)</f>
        <v>73142.899999999994</v>
      </c>
      <c r="L36" s="268">
        <f>K36/J36</f>
        <v>1.40687847695578E-2</v>
      </c>
      <c r="Q36" s="270"/>
      <c r="R36" s="270"/>
      <c r="S36" s="270"/>
    </row>
    <row r="37" spans="2:19" ht="12.75" customHeight="1">
      <c r="B37" s="598">
        <f t="shared" si="1"/>
        <v>27</v>
      </c>
      <c r="E37" s="598"/>
      <c r="F37" s="277"/>
      <c r="G37" s="308"/>
      <c r="H37" s="297"/>
      <c r="I37" s="267"/>
      <c r="J37" s="270"/>
      <c r="K37" s="270"/>
      <c r="L37" s="268"/>
      <c r="Q37" s="270"/>
      <c r="R37" s="270"/>
      <c r="S37" s="270"/>
    </row>
    <row r="38" spans="2:19" ht="12.75" customHeight="1">
      <c r="B38" s="598">
        <f t="shared" si="1"/>
        <v>28</v>
      </c>
      <c r="D38" s="316" t="s">
        <v>304</v>
      </c>
      <c r="E38" s="598" t="s">
        <v>305</v>
      </c>
      <c r="F38" s="277"/>
      <c r="G38" s="308"/>
      <c r="H38" s="297"/>
      <c r="I38" s="267">
        <f>I28+I36</f>
        <v>78503529.33221285</v>
      </c>
      <c r="J38" s="270">
        <f t="shared" ref="J38:K38" si="4">J28+J36</f>
        <v>46352306.125549078</v>
      </c>
      <c r="K38" s="270">
        <f t="shared" si="4"/>
        <v>262566.84999999998</v>
      </c>
      <c r="L38" s="268">
        <f>K38/J38</f>
        <v>5.6645908682259691E-3</v>
      </c>
      <c r="Q38" s="270"/>
      <c r="R38" s="270"/>
      <c r="S38" s="270"/>
    </row>
    <row r="39" spans="2:19" ht="12.75" customHeight="1">
      <c r="B39" s="598">
        <f t="shared" si="1"/>
        <v>29</v>
      </c>
      <c r="E39" s="598"/>
      <c r="F39" s="277"/>
      <c r="G39" s="308"/>
      <c r="H39" s="297"/>
      <c r="J39" s="270"/>
      <c r="K39" s="270"/>
      <c r="L39" s="268"/>
      <c r="Q39" s="270"/>
      <c r="R39" s="270"/>
      <c r="S39" s="270"/>
    </row>
    <row r="40" spans="2:19" ht="12.75" customHeight="1">
      <c r="B40" s="598">
        <f t="shared" si="1"/>
        <v>30</v>
      </c>
      <c r="C40" s="316" t="s">
        <v>306</v>
      </c>
      <c r="E40" s="598">
        <v>85</v>
      </c>
      <c r="F40" s="277"/>
      <c r="G40" s="308"/>
      <c r="H40" s="297"/>
      <c r="J40" s="270"/>
      <c r="K40" s="270"/>
      <c r="L40" s="268"/>
      <c r="Q40" s="270"/>
      <c r="R40" s="270"/>
      <c r="S40" s="270"/>
    </row>
    <row r="41" spans="2:19" ht="12.75" customHeight="1">
      <c r="B41" s="598">
        <f t="shared" si="1"/>
        <v>31</v>
      </c>
      <c r="D41" s="316" t="s">
        <v>307</v>
      </c>
      <c r="E41" s="598"/>
      <c r="F41" s="427">
        <f>'Rate Plan Rates'!G11</f>
        <v>51.01</v>
      </c>
      <c r="G41" s="427">
        <f>'Summary of Rates'!H40</f>
        <v>51.01</v>
      </c>
      <c r="H41" s="297"/>
      <c r="J41" s="270"/>
      <c r="K41" s="270"/>
      <c r="L41" s="268"/>
      <c r="Q41" s="270"/>
      <c r="R41" s="270"/>
      <c r="S41" s="270"/>
    </row>
    <row r="42" spans="2:19" ht="12.75" customHeight="1">
      <c r="B42" s="598">
        <f t="shared" si="1"/>
        <v>32</v>
      </c>
      <c r="D42" s="316" t="s">
        <v>186</v>
      </c>
      <c r="E42" s="598"/>
      <c r="F42" s="427">
        <v>0</v>
      </c>
      <c r="G42" s="426">
        <v>0</v>
      </c>
      <c r="H42" s="269">
        <f t="shared" ref="H42:H47" si="5">G42-F42</f>
        <v>0</v>
      </c>
      <c r="I42" s="348">
        <f>'Total Rate Impact'!I41</f>
        <v>68772</v>
      </c>
      <c r="J42" s="270"/>
      <c r="K42" s="270">
        <f>ROUND(H42*I42,2)</f>
        <v>0</v>
      </c>
      <c r="L42" s="268"/>
      <c r="Q42" s="270"/>
      <c r="R42" s="270"/>
      <c r="S42" s="270"/>
    </row>
    <row r="43" spans="2:19" ht="12.75" customHeight="1">
      <c r="B43" s="598">
        <f t="shared" si="1"/>
        <v>33</v>
      </c>
      <c r="D43" s="316" t="s">
        <v>192</v>
      </c>
      <c r="E43" s="598"/>
      <c r="F43" s="308">
        <f>'Rate Plan Rates'!G13</f>
        <v>6.2E-4</v>
      </c>
      <c r="G43" s="308">
        <f>'Summary of Rates'!H41</f>
        <v>6.2E-4</v>
      </c>
      <c r="H43" s="269">
        <f t="shared" si="5"/>
        <v>0</v>
      </c>
      <c r="I43" s="348">
        <f>'Total Rate Impact'!I42</f>
        <v>19100696</v>
      </c>
      <c r="J43" s="270"/>
      <c r="K43" s="270">
        <f>ROUND(H43*I43,2)</f>
        <v>0</v>
      </c>
      <c r="L43" s="268"/>
      <c r="Q43" s="270"/>
      <c r="R43" s="270"/>
      <c r="S43" s="270"/>
    </row>
    <row r="44" spans="2:19" ht="12.75" customHeight="1">
      <c r="B44" s="598">
        <f t="shared" si="1"/>
        <v>34</v>
      </c>
      <c r="D44" s="316" t="s">
        <v>187</v>
      </c>
      <c r="E44" s="598"/>
      <c r="F44" s="308"/>
      <c r="G44" s="308"/>
      <c r="H44" s="269"/>
      <c r="I44" s="348"/>
      <c r="J44" s="270"/>
      <c r="K44" s="270"/>
      <c r="L44" s="268"/>
      <c r="Q44" s="270"/>
      <c r="R44" s="270"/>
      <c r="S44" s="270"/>
    </row>
    <row r="45" spans="2:19" ht="12.75" customHeight="1">
      <c r="B45" s="598">
        <f t="shared" si="1"/>
        <v>35</v>
      </c>
      <c r="D45" s="316" t="s">
        <v>308</v>
      </c>
      <c r="E45" s="598"/>
      <c r="F45" s="308">
        <f>'Rate Plan Rates'!G16</f>
        <v>9.2399999999999999E-3</v>
      </c>
      <c r="G45" s="308">
        <f>'Summary of Rates'!H44</f>
        <v>9.2399999999999999E-3</v>
      </c>
      <c r="H45" s="269">
        <f t="shared" si="5"/>
        <v>0</v>
      </c>
      <c r="I45" s="348">
        <f>'Total Rate Impact'!I44</f>
        <v>9874251.9437413048</v>
      </c>
      <c r="J45" s="270"/>
      <c r="K45" s="270">
        <f t="shared" ref="K45:K47" si="6">ROUND(H45*I45,2)</f>
        <v>0</v>
      </c>
      <c r="L45" s="268"/>
      <c r="Q45" s="270"/>
      <c r="R45" s="270"/>
      <c r="S45" s="270"/>
    </row>
    <row r="46" spans="2:19" ht="12.75" customHeight="1">
      <c r="B46" s="598">
        <f t="shared" si="1"/>
        <v>36</v>
      </c>
      <c r="D46" s="316" t="s">
        <v>309</v>
      </c>
      <c r="E46" s="598"/>
      <c r="F46" s="308">
        <f>'Rate Plan Rates'!G17</f>
        <v>4.5799999999999999E-3</v>
      </c>
      <c r="G46" s="308">
        <f>'Summary of Rates'!H45</f>
        <v>4.5799999999999999E-3</v>
      </c>
      <c r="H46" s="269">
        <f t="shared" si="5"/>
        <v>0</v>
      </c>
      <c r="I46" s="348">
        <f>'Total Rate Impact'!I45</f>
        <v>4897094.9857685557</v>
      </c>
      <c r="J46" s="270"/>
      <c r="K46" s="270">
        <f t="shared" si="6"/>
        <v>0</v>
      </c>
      <c r="L46" s="268"/>
      <c r="Q46" s="270"/>
      <c r="R46" s="270"/>
      <c r="S46" s="270"/>
    </row>
    <row r="47" spans="2:19" ht="12.75" customHeight="1">
      <c r="B47" s="598">
        <f t="shared" si="1"/>
        <v>37</v>
      </c>
      <c r="D47" s="316" t="s">
        <v>310</v>
      </c>
      <c r="E47" s="598"/>
      <c r="F47" s="308">
        <f>'Rate Plan Rates'!G18</f>
        <v>4.3800000000000002E-3</v>
      </c>
      <c r="G47" s="308">
        <f>'Summary of Rates'!H46</f>
        <v>4.3800000000000002E-3</v>
      </c>
      <c r="H47" s="269">
        <f t="shared" si="5"/>
        <v>0</v>
      </c>
      <c r="I47" s="357">
        <f>'Total Rate Impact'!I46</f>
        <v>4329349.0704901405</v>
      </c>
      <c r="J47" s="270"/>
      <c r="K47" s="272">
        <f t="shared" si="6"/>
        <v>0</v>
      </c>
      <c r="L47" s="268"/>
      <c r="Q47" s="270"/>
      <c r="R47" s="270"/>
      <c r="S47" s="270"/>
    </row>
    <row r="48" spans="2:19" ht="12.75" customHeight="1">
      <c r="B48" s="598">
        <f t="shared" si="1"/>
        <v>38</v>
      </c>
      <c r="D48" s="316" t="s">
        <v>143</v>
      </c>
      <c r="E48" s="598"/>
      <c r="F48" s="277"/>
      <c r="H48" s="297"/>
      <c r="I48" s="267">
        <f>SUM(I45:I47)</f>
        <v>19100696</v>
      </c>
      <c r="J48" s="358">
        <f>'Rate Impact Rev'!O21</f>
        <v>8788393.9017745443</v>
      </c>
      <c r="K48" s="270">
        <f>SUM(K42:K47)</f>
        <v>0</v>
      </c>
      <c r="L48" s="268">
        <f>K48/J48</f>
        <v>0</v>
      </c>
      <c r="Q48" s="270"/>
      <c r="R48" s="270"/>
      <c r="S48" s="270"/>
    </row>
    <row r="49" spans="2:19" ht="12.75" customHeight="1">
      <c r="B49" s="598">
        <f t="shared" si="1"/>
        <v>39</v>
      </c>
      <c r="E49" s="598"/>
      <c r="F49" s="277"/>
      <c r="G49" s="308"/>
      <c r="H49" s="297"/>
      <c r="J49" s="270"/>
      <c r="K49" s="270"/>
      <c r="L49" s="268"/>
      <c r="Q49" s="270"/>
      <c r="R49" s="270"/>
      <c r="S49" s="270"/>
    </row>
    <row r="50" spans="2:19" ht="12.75" customHeight="1">
      <c r="B50" s="598">
        <f t="shared" si="1"/>
        <v>40</v>
      </c>
      <c r="C50" s="316" t="s">
        <v>311</v>
      </c>
      <c r="E50" s="598" t="s">
        <v>243</v>
      </c>
      <c r="F50" s="277"/>
      <c r="G50" s="308"/>
      <c r="H50" s="297"/>
      <c r="J50" s="270"/>
      <c r="K50" s="270"/>
      <c r="L50" s="268"/>
      <c r="Q50" s="270"/>
      <c r="R50" s="270"/>
      <c r="S50" s="270"/>
    </row>
    <row r="51" spans="2:19" ht="12.75" customHeight="1">
      <c r="B51" s="598">
        <f t="shared" si="1"/>
        <v>41</v>
      </c>
      <c r="D51" s="316" t="s">
        <v>307</v>
      </c>
      <c r="E51" s="598"/>
      <c r="F51" s="427">
        <f>'Rate Plan Rates'!G21</f>
        <v>81.62</v>
      </c>
      <c r="G51" s="427">
        <f>'Summary of Rates'!H49</f>
        <v>81.62</v>
      </c>
      <c r="H51" s="297"/>
      <c r="J51" s="270"/>
      <c r="K51" s="270"/>
      <c r="L51" s="268"/>
      <c r="Q51" s="270"/>
      <c r="R51" s="270"/>
      <c r="S51" s="270"/>
    </row>
    <row r="52" spans="2:19" ht="12.75" customHeight="1">
      <c r="B52" s="598">
        <f t="shared" si="1"/>
        <v>42</v>
      </c>
      <c r="D52" s="316" t="s">
        <v>186</v>
      </c>
      <c r="E52" s="598"/>
      <c r="F52" s="427">
        <v>0</v>
      </c>
      <c r="G52" s="426">
        <v>0</v>
      </c>
      <c r="H52" s="269">
        <f t="shared" ref="H52:H56" si="7">G52-F52</f>
        <v>0</v>
      </c>
      <c r="I52" s="348">
        <f>'Total Rate Impact'!I51</f>
        <v>1347828</v>
      </c>
      <c r="J52" s="270"/>
      <c r="K52" s="270">
        <f>ROUND(H52*I52,2)</f>
        <v>0</v>
      </c>
      <c r="L52" s="268"/>
      <c r="Q52" s="270"/>
      <c r="R52" s="270"/>
      <c r="S52" s="270"/>
    </row>
    <row r="53" spans="2:19" ht="12.75" customHeight="1">
      <c r="B53" s="598">
        <f t="shared" si="1"/>
        <v>43</v>
      </c>
      <c r="D53" s="316" t="s">
        <v>187</v>
      </c>
      <c r="E53" s="598"/>
      <c r="F53" s="308"/>
      <c r="G53" s="308"/>
      <c r="H53" s="269"/>
      <c r="I53" s="356"/>
      <c r="J53" s="270"/>
      <c r="K53" s="270"/>
      <c r="L53" s="268"/>
      <c r="Q53" s="270"/>
      <c r="R53" s="270"/>
      <c r="S53" s="270"/>
    </row>
    <row r="54" spans="2:19" ht="12.75" customHeight="1">
      <c r="B54" s="598">
        <f t="shared" si="1"/>
        <v>44</v>
      </c>
      <c r="D54" s="316" t="s">
        <v>308</v>
      </c>
      <c r="E54" s="598"/>
      <c r="F54" s="308">
        <f>'Rate Plan Rates'!G25</f>
        <v>9.2399999999999999E-3</v>
      </c>
      <c r="G54" s="308">
        <f>'Summary of Rates'!H52</f>
        <v>9.2399999999999999E-3</v>
      </c>
      <c r="H54" s="269">
        <f t="shared" si="7"/>
        <v>0</v>
      </c>
      <c r="I54" s="348">
        <f>'Total Rate Impact'!I53</f>
        <v>32743237.672463395</v>
      </c>
      <c r="J54" s="270"/>
      <c r="K54" s="270">
        <f t="shared" ref="K54:K56" si="8">ROUND(H54*I54,2)</f>
        <v>0</v>
      </c>
      <c r="L54" s="268"/>
      <c r="Q54" s="270"/>
      <c r="R54" s="270"/>
      <c r="S54" s="270"/>
    </row>
    <row r="55" spans="2:19" ht="12.75" customHeight="1">
      <c r="B55" s="598">
        <f t="shared" si="1"/>
        <v>45</v>
      </c>
      <c r="D55" s="316" t="s">
        <v>309</v>
      </c>
      <c r="E55" s="598"/>
      <c r="F55" s="308">
        <f>'Rate Plan Rates'!G26</f>
        <v>4.5799999999999999E-3</v>
      </c>
      <c r="G55" s="308">
        <f>'Summary of Rates'!H53</f>
        <v>4.5799999999999999E-3</v>
      </c>
      <c r="H55" s="269">
        <f t="shared" si="7"/>
        <v>0</v>
      </c>
      <c r="I55" s="348">
        <f>'Total Rate Impact'!I54</f>
        <v>21044923.209942862</v>
      </c>
      <c r="J55" s="270"/>
      <c r="K55" s="270">
        <f t="shared" si="8"/>
        <v>0</v>
      </c>
      <c r="L55" s="268"/>
      <c r="Q55" s="270"/>
      <c r="R55" s="270"/>
      <c r="S55" s="270"/>
    </row>
    <row r="56" spans="2:19" ht="12.75" customHeight="1">
      <c r="B56" s="598">
        <f t="shared" si="1"/>
        <v>46</v>
      </c>
      <c r="D56" s="316" t="s">
        <v>310</v>
      </c>
      <c r="E56" s="598"/>
      <c r="F56" s="308">
        <f>'Rate Plan Rates'!G27</f>
        <v>4.3800000000000002E-3</v>
      </c>
      <c r="G56" s="308">
        <f>'Summary of Rates'!H54</f>
        <v>4.3800000000000002E-3</v>
      </c>
      <c r="H56" s="269">
        <f t="shared" si="7"/>
        <v>0</v>
      </c>
      <c r="I56" s="357">
        <f>'Total Rate Impact'!I55</f>
        <v>33543923.117593743</v>
      </c>
      <c r="J56" s="270"/>
      <c r="K56" s="272">
        <f t="shared" si="8"/>
        <v>0</v>
      </c>
      <c r="L56" s="268"/>
      <c r="Q56" s="270"/>
      <c r="R56" s="270"/>
      <c r="S56" s="270"/>
    </row>
    <row r="57" spans="2:19" ht="12.75" customHeight="1">
      <c r="B57" s="598">
        <f t="shared" si="1"/>
        <v>47</v>
      </c>
      <c r="D57" s="316" t="s">
        <v>143</v>
      </c>
      <c r="E57" s="598"/>
      <c r="F57" s="277"/>
      <c r="G57" s="308"/>
      <c r="H57" s="297"/>
      <c r="I57" s="267">
        <f>SUM(I54:I56)</f>
        <v>87332084</v>
      </c>
      <c r="J57" s="358">
        <f>'Rate Impact Rev'!O22</f>
        <v>9371980.5137247033</v>
      </c>
      <c r="K57" s="270">
        <f>SUM(K52:K56)</f>
        <v>0</v>
      </c>
      <c r="L57" s="268">
        <f>K57/J57</f>
        <v>0</v>
      </c>
      <c r="Q57" s="270"/>
      <c r="R57" s="270"/>
      <c r="S57" s="270"/>
    </row>
    <row r="58" spans="2:19" ht="12.75" customHeight="1">
      <c r="B58" s="598">
        <f t="shared" si="1"/>
        <v>48</v>
      </c>
      <c r="E58" s="598"/>
      <c r="F58" s="277"/>
      <c r="G58" s="308"/>
      <c r="H58" s="297"/>
      <c r="J58" s="270"/>
      <c r="K58" s="270"/>
      <c r="L58" s="268"/>
      <c r="Q58" s="270"/>
      <c r="R58" s="270"/>
      <c r="S58" s="270"/>
    </row>
    <row r="59" spans="2:19" ht="12.75" customHeight="1">
      <c r="B59" s="598">
        <f t="shared" si="1"/>
        <v>49</v>
      </c>
      <c r="D59" s="316" t="s">
        <v>312</v>
      </c>
      <c r="E59" s="598" t="s">
        <v>313</v>
      </c>
      <c r="F59" s="277"/>
      <c r="G59" s="308"/>
      <c r="H59" s="297"/>
      <c r="I59" s="267">
        <f>I48+I57</f>
        <v>106432780</v>
      </c>
      <c r="J59" s="270">
        <f>J48+J57</f>
        <v>18160374.415499248</v>
      </c>
      <c r="K59" s="270">
        <f>K48+K57</f>
        <v>0</v>
      </c>
      <c r="L59" s="268">
        <f>K59/J59</f>
        <v>0</v>
      </c>
      <c r="Q59" s="270"/>
      <c r="R59" s="270"/>
      <c r="S59" s="270"/>
    </row>
    <row r="60" spans="2:19" ht="12.75" customHeight="1">
      <c r="B60" s="598">
        <f t="shared" si="1"/>
        <v>50</v>
      </c>
      <c r="E60" s="598"/>
      <c r="F60" s="277"/>
      <c r="G60" s="308"/>
      <c r="H60" s="297"/>
      <c r="J60" s="270"/>
      <c r="K60" s="270"/>
      <c r="L60" s="268"/>
      <c r="Q60" s="270"/>
      <c r="R60" s="270"/>
      <c r="S60" s="270"/>
    </row>
    <row r="61" spans="2:19" ht="12.75" customHeight="1">
      <c r="B61" s="598">
        <f t="shared" si="1"/>
        <v>51</v>
      </c>
      <c r="C61" s="316" t="s">
        <v>314</v>
      </c>
      <c r="E61" s="598">
        <v>86</v>
      </c>
      <c r="F61" s="277"/>
      <c r="G61" s="308"/>
      <c r="H61" s="297"/>
      <c r="J61" s="270"/>
      <c r="K61" s="274"/>
      <c r="L61" s="275"/>
      <c r="Q61" s="270"/>
      <c r="R61" s="270"/>
      <c r="S61" s="270"/>
    </row>
    <row r="62" spans="2:19" ht="12.75" customHeight="1">
      <c r="B62" s="598">
        <f t="shared" si="1"/>
        <v>52</v>
      </c>
      <c r="D62" s="316" t="s">
        <v>186</v>
      </c>
      <c r="E62" s="598"/>
      <c r="F62" s="426">
        <v>4.0000000000000036E-2</v>
      </c>
      <c r="G62" s="427">
        <f>'Summary of Rates'!H57</f>
        <v>6.0000000000000053E-2</v>
      </c>
      <c r="H62" s="355">
        <f t="shared" ref="H62:H66" si="9">G62-F62</f>
        <v>2.0000000000000018E-2</v>
      </c>
      <c r="I62" s="348">
        <f>'Total Rate Impact'!I61</f>
        <v>81149</v>
      </c>
      <c r="J62" s="270"/>
      <c r="K62" s="270">
        <f>ROUND(H62*I62,2)</f>
        <v>1622.98</v>
      </c>
      <c r="L62" s="275"/>
      <c r="Q62" s="270"/>
      <c r="R62" s="270"/>
      <c r="S62" s="270"/>
    </row>
    <row r="63" spans="2:19" ht="12.75" customHeight="1">
      <c r="B63" s="598">
        <f t="shared" si="1"/>
        <v>53</v>
      </c>
      <c r="D63" s="316" t="s">
        <v>192</v>
      </c>
      <c r="E63" s="598"/>
      <c r="F63" s="277">
        <v>2.5000000000000022E-4</v>
      </c>
      <c r="G63" s="308">
        <f>'Summary of Rates'!H58</f>
        <v>3.6999999999999967E-4</v>
      </c>
      <c r="H63" s="269">
        <f t="shared" si="9"/>
        <v>1.1999999999999945E-4</v>
      </c>
      <c r="I63" s="348">
        <f>'Total Rate Impact'!I62</f>
        <v>9746828</v>
      </c>
      <c r="J63" s="270"/>
      <c r="K63" s="270">
        <f>ROUND(H63*I63,2)</f>
        <v>1169.6199999999999</v>
      </c>
      <c r="L63" s="275"/>
      <c r="Q63" s="270"/>
      <c r="R63" s="270"/>
      <c r="S63" s="270"/>
    </row>
    <row r="64" spans="2:19" ht="12.75" customHeight="1">
      <c r="B64" s="598">
        <f t="shared" si="1"/>
        <v>54</v>
      </c>
      <c r="D64" s="316" t="s">
        <v>187</v>
      </c>
      <c r="E64" s="598"/>
      <c r="F64" s="277"/>
      <c r="G64" s="308"/>
      <c r="H64" s="269"/>
      <c r="I64" s="356"/>
      <c r="J64" s="270"/>
      <c r="K64" s="274"/>
      <c r="L64" s="275"/>
      <c r="Q64" s="270"/>
      <c r="R64" s="270"/>
      <c r="S64" s="270"/>
    </row>
    <row r="65" spans="2:19" ht="12.75" customHeight="1">
      <c r="B65" s="598">
        <f t="shared" si="1"/>
        <v>55</v>
      </c>
      <c r="D65" s="316" t="s">
        <v>193</v>
      </c>
      <c r="E65" s="598"/>
      <c r="F65" s="277">
        <v>7.5800000000000034E-3</v>
      </c>
      <c r="G65" s="308">
        <f>'Summary of Rates'!H61</f>
        <v>1.0770000000000002E-2</v>
      </c>
      <c r="H65" s="269">
        <f t="shared" si="9"/>
        <v>3.1899999999999984E-3</v>
      </c>
      <c r="I65" s="348">
        <f>'Total Rate Impact'!I64</f>
        <v>2712652.6754525411</v>
      </c>
      <c r="J65" s="270"/>
      <c r="K65" s="270">
        <f>ROUND(H65*I65,2)</f>
        <v>8653.36</v>
      </c>
      <c r="L65" s="268"/>
      <c r="Q65" s="270"/>
      <c r="R65" s="270"/>
      <c r="S65" s="270"/>
    </row>
    <row r="66" spans="2:19" ht="12.75" customHeight="1">
      <c r="B66" s="598">
        <f t="shared" si="1"/>
        <v>56</v>
      </c>
      <c r="D66" s="316" t="s">
        <v>315</v>
      </c>
      <c r="E66" s="598"/>
      <c r="F66" s="277">
        <v>5.3699999999999859E-3</v>
      </c>
      <c r="G66" s="308">
        <f>'Summary of Rates'!H62</f>
        <v>7.6400000000000079E-3</v>
      </c>
      <c r="H66" s="269">
        <f t="shared" si="9"/>
        <v>2.270000000000022E-3</v>
      </c>
      <c r="I66" s="357">
        <f>'Total Rate Impact'!I65</f>
        <v>7034175.3245474584</v>
      </c>
      <c r="J66" s="270"/>
      <c r="K66" s="272">
        <f>ROUND(H66*I66,2)</f>
        <v>15967.58</v>
      </c>
      <c r="L66" s="268"/>
      <c r="Q66" s="270"/>
      <c r="R66" s="270"/>
      <c r="S66" s="270"/>
    </row>
    <row r="67" spans="2:19" ht="12.75" customHeight="1">
      <c r="B67" s="598">
        <f t="shared" si="1"/>
        <v>57</v>
      </c>
      <c r="D67" s="316" t="s">
        <v>143</v>
      </c>
      <c r="E67" s="598"/>
      <c r="F67" s="277"/>
      <c r="G67" s="308"/>
      <c r="H67" s="297"/>
      <c r="I67" s="267">
        <f>SUM(I65:I66)</f>
        <v>9746828</v>
      </c>
      <c r="J67" s="358">
        <f>'Rate Impact Rev'!O24</f>
        <v>5790449.1895529591</v>
      </c>
      <c r="K67" s="270">
        <f>SUM(K62:K66)</f>
        <v>27413.54</v>
      </c>
      <c r="L67" s="268">
        <f>K67/J67</f>
        <v>4.7342682929433343E-3</v>
      </c>
      <c r="Q67" s="270"/>
      <c r="R67" s="270"/>
      <c r="S67" s="270"/>
    </row>
    <row r="68" spans="2:19" ht="12.75" customHeight="1">
      <c r="B68" s="598">
        <f t="shared" si="1"/>
        <v>58</v>
      </c>
      <c r="E68" s="598"/>
      <c r="F68" s="277"/>
      <c r="G68" s="308"/>
      <c r="H68" s="297"/>
      <c r="I68" s="267"/>
      <c r="J68" s="270"/>
      <c r="K68" s="270"/>
      <c r="L68" s="268"/>
      <c r="Q68" s="270"/>
      <c r="R68" s="270"/>
      <c r="S68" s="270"/>
    </row>
    <row r="69" spans="2:19" ht="12.75" customHeight="1">
      <c r="B69" s="598">
        <f t="shared" si="1"/>
        <v>59</v>
      </c>
      <c r="C69" s="316" t="s">
        <v>316</v>
      </c>
      <c r="E69" s="598" t="s">
        <v>244</v>
      </c>
      <c r="F69" s="277"/>
      <c r="G69" s="308"/>
      <c r="H69" s="297"/>
      <c r="J69" s="270"/>
      <c r="K69" s="274"/>
      <c r="L69" s="275"/>
      <c r="Q69" s="270"/>
      <c r="R69" s="270"/>
      <c r="S69" s="270"/>
    </row>
    <row r="70" spans="2:19" ht="12.75" customHeight="1">
      <c r="B70" s="598">
        <f t="shared" si="1"/>
        <v>60</v>
      </c>
      <c r="D70" s="316" t="s">
        <v>186</v>
      </c>
      <c r="E70" s="598"/>
      <c r="F70" s="426">
        <v>4.0000000000000036E-2</v>
      </c>
      <c r="G70" s="427">
        <f>'Summary of Rates'!H65</f>
        <v>6.0000000000000053E-2</v>
      </c>
      <c r="H70" s="355">
        <f t="shared" ref="H70:H73" si="10">G70-F70</f>
        <v>2.0000000000000018E-2</v>
      </c>
      <c r="I70" s="348">
        <f>'Total Rate Impact'!I69</f>
        <v>18000</v>
      </c>
      <c r="J70" s="270"/>
      <c r="K70" s="270">
        <f>ROUND(H70*I70,2)</f>
        <v>360</v>
      </c>
      <c r="L70" s="275"/>
      <c r="Q70" s="270"/>
      <c r="R70" s="270"/>
      <c r="S70" s="270"/>
    </row>
    <row r="71" spans="2:19" ht="12.75" customHeight="1">
      <c r="B71" s="598">
        <f t="shared" si="1"/>
        <v>61</v>
      </c>
      <c r="D71" s="316" t="s">
        <v>187</v>
      </c>
      <c r="E71" s="598"/>
      <c r="F71" s="277"/>
      <c r="G71" s="308"/>
      <c r="H71" s="269"/>
      <c r="I71" s="356"/>
      <c r="J71" s="270"/>
      <c r="K71" s="274"/>
      <c r="L71" s="275"/>
      <c r="Q71" s="270"/>
      <c r="R71" s="270"/>
      <c r="S71" s="270"/>
    </row>
    <row r="72" spans="2:19" ht="12.75" customHeight="1">
      <c r="B72" s="598">
        <f t="shared" si="1"/>
        <v>62</v>
      </c>
      <c r="D72" s="316" t="s">
        <v>193</v>
      </c>
      <c r="E72" s="598"/>
      <c r="F72" s="277">
        <v>7.5800000000000034E-3</v>
      </c>
      <c r="G72" s="308">
        <f>'Summary of Rates'!H68</f>
        <v>1.0770000000000002E-2</v>
      </c>
      <c r="H72" s="269">
        <f t="shared" si="10"/>
        <v>3.1899999999999984E-3</v>
      </c>
      <c r="I72" s="348">
        <f>'Total Rate Impact'!I71</f>
        <v>20079.323032941302</v>
      </c>
      <c r="J72" s="270"/>
      <c r="K72" s="270">
        <f>ROUND(H72*I72,2)</f>
        <v>64.05</v>
      </c>
      <c r="L72" s="268"/>
      <c r="Q72" s="270"/>
      <c r="R72" s="270"/>
      <c r="S72" s="270"/>
    </row>
    <row r="73" spans="2:19" ht="12.75" customHeight="1">
      <c r="B73" s="598">
        <f t="shared" si="1"/>
        <v>63</v>
      </c>
      <c r="D73" s="316" t="s">
        <v>315</v>
      </c>
      <c r="E73" s="598"/>
      <c r="F73" s="277">
        <v>5.3699999999999859E-3</v>
      </c>
      <c r="G73" s="308">
        <f>'Summary of Rates'!H69</f>
        <v>7.6400000000000079E-3</v>
      </c>
      <c r="H73" s="269">
        <f t="shared" si="10"/>
        <v>2.270000000000022E-3</v>
      </c>
      <c r="I73" s="357">
        <f>'Total Rate Impact'!I72</f>
        <v>175915.67696705868</v>
      </c>
      <c r="J73" s="270"/>
      <c r="K73" s="272">
        <f>ROUND(H73*I73,2)</f>
        <v>399.33</v>
      </c>
      <c r="L73" s="268"/>
      <c r="Q73" s="270"/>
      <c r="R73" s="270"/>
      <c r="S73" s="270"/>
    </row>
    <row r="74" spans="2:19" ht="12.75" customHeight="1">
      <c r="B74" s="598">
        <f t="shared" si="1"/>
        <v>64</v>
      </c>
      <c r="D74" s="316" t="s">
        <v>143</v>
      </c>
      <c r="E74" s="598"/>
      <c r="F74" s="277"/>
      <c r="G74" s="308"/>
      <c r="H74" s="297"/>
      <c r="I74" s="267">
        <f>SUM(I72:I73)</f>
        <v>195994.99999999997</v>
      </c>
      <c r="J74" s="358">
        <f>'Rate Impact Rev'!O25</f>
        <v>75825.208898315963</v>
      </c>
      <c r="K74" s="270">
        <f>SUM(K70:K73)</f>
        <v>823.38</v>
      </c>
      <c r="L74" s="268">
        <f>K74/J74</f>
        <v>1.0858921616743305E-2</v>
      </c>
      <c r="Q74" s="270"/>
      <c r="R74" s="270"/>
      <c r="S74" s="270"/>
    </row>
    <row r="75" spans="2:19" ht="12.75" customHeight="1">
      <c r="B75" s="598">
        <f t="shared" si="1"/>
        <v>65</v>
      </c>
      <c r="E75" s="598"/>
      <c r="F75" s="277"/>
      <c r="G75" s="297"/>
      <c r="H75" s="297"/>
      <c r="I75" s="267"/>
      <c r="J75" s="270"/>
      <c r="K75" s="270"/>
      <c r="L75" s="268"/>
      <c r="Q75" s="270"/>
      <c r="R75" s="270"/>
      <c r="S75" s="270"/>
    </row>
    <row r="76" spans="2:19" ht="12.75" customHeight="1">
      <c r="B76" s="598">
        <f t="shared" si="1"/>
        <v>66</v>
      </c>
      <c r="D76" s="316" t="s">
        <v>317</v>
      </c>
      <c r="E76" s="598" t="s">
        <v>318</v>
      </c>
      <c r="F76" s="277"/>
      <c r="G76" s="297"/>
      <c r="H76" s="297"/>
      <c r="I76" s="267">
        <f>I67+I74</f>
        <v>9942823</v>
      </c>
      <c r="J76" s="270">
        <f t="shared" ref="J76:K76" si="11">J67+J74</f>
        <v>5866274.3984512752</v>
      </c>
      <c r="K76" s="270">
        <f t="shared" si="11"/>
        <v>28236.920000000002</v>
      </c>
      <c r="L76" s="268">
        <f>K76/J76</f>
        <v>4.8134332085547661E-3</v>
      </c>
      <c r="Q76" s="270"/>
      <c r="R76" s="270"/>
      <c r="S76" s="270"/>
    </row>
    <row r="77" spans="2:19" ht="12.75" customHeight="1">
      <c r="B77" s="598">
        <f t="shared" si="1"/>
        <v>67</v>
      </c>
      <c r="E77" s="598"/>
      <c r="F77" s="277"/>
      <c r="G77" s="297"/>
      <c r="H77" s="297"/>
      <c r="I77" s="267"/>
      <c r="J77" s="270"/>
      <c r="K77" s="270"/>
      <c r="L77" s="268"/>
      <c r="Q77" s="270"/>
      <c r="R77" s="270"/>
      <c r="S77" s="270"/>
    </row>
    <row r="78" spans="2:19" ht="12.75" customHeight="1">
      <c r="B78" s="598">
        <f t="shared" si="1"/>
        <v>68</v>
      </c>
      <c r="C78" s="316" t="s">
        <v>306</v>
      </c>
      <c r="E78" s="598">
        <v>87</v>
      </c>
      <c r="F78" s="277"/>
      <c r="G78" s="297"/>
      <c r="H78" s="297"/>
      <c r="I78" s="267"/>
      <c r="J78" s="270"/>
      <c r="K78" s="270"/>
      <c r="L78" s="268"/>
      <c r="Q78" s="270"/>
      <c r="R78" s="270"/>
      <c r="S78" s="270"/>
    </row>
    <row r="79" spans="2:19" ht="12.75" customHeight="1">
      <c r="B79" s="598">
        <f t="shared" si="1"/>
        <v>69</v>
      </c>
      <c r="D79" s="316" t="s">
        <v>307</v>
      </c>
      <c r="E79" s="598"/>
      <c r="F79" s="427">
        <f>'Rate Plan Rates'!G30</f>
        <v>52.37</v>
      </c>
      <c r="G79" s="427">
        <f>'Summary of Rates'!H72</f>
        <v>52.37</v>
      </c>
      <c r="H79" s="297"/>
      <c r="I79" s="267"/>
      <c r="J79" s="270"/>
      <c r="K79" s="270"/>
      <c r="L79" s="268"/>
      <c r="Q79" s="270"/>
      <c r="R79" s="270"/>
      <c r="S79" s="270"/>
    </row>
    <row r="80" spans="2:19" ht="12.75" customHeight="1">
      <c r="B80" s="598">
        <f t="shared" si="1"/>
        <v>70</v>
      </c>
      <c r="D80" s="316" t="s">
        <v>186</v>
      </c>
      <c r="E80" s="598"/>
      <c r="F80" s="427">
        <v>0</v>
      </c>
      <c r="G80" s="426">
        <v>0</v>
      </c>
      <c r="H80" s="269">
        <f t="shared" ref="H80:H88" si="12">G80-F80</f>
        <v>0</v>
      </c>
      <c r="I80" s="348">
        <f>'Total Rate Impact'!I79</f>
        <v>0</v>
      </c>
      <c r="J80" s="270"/>
      <c r="K80" s="270">
        <f t="shared" ref="K80:K81" si="13">ROUND(H80*I80,2)</f>
        <v>0</v>
      </c>
      <c r="L80" s="268"/>
      <c r="Q80" s="270"/>
      <c r="R80" s="270"/>
      <c r="S80" s="270"/>
    </row>
    <row r="81" spans="2:19" ht="12.75" customHeight="1">
      <c r="B81" s="598">
        <f t="shared" si="1"/>
        <v>71</v>
      </c>
      <c r="D81" s="316" t="s">
        <v>192</v>
      </c>
      <c r="E81" s="598"/>
      <c r="F81" s="308">
        <f>'Rate Plan Rates'!G32</f>
        <v>4.8999999999999998E-4</v>
      </c>
      <c r="G81" s="308">
        <f>'Summary of Rates'!H73</f>
        <v>4.8999999999999998E-4</v>
      </c>
      <c r="H81" s="269">
        <f t="shared" si="12"/>
        <v>0</v>
      </c>
      <c r="I81" s="348">
        <f>'Total Rate Impact'!I80</f>
        <v>23768329</v>
      </c>
      <c r="J81" s="270"/>
      <c r="K81" s="270">
        <f t="shared" si="13"/>
        <v>0</v>
      </c>
      <c r="L81" s="268"/>
      <c r="Q81" s="270"/>
      <c r="R81" s="270"/>
      <c r="S81" s="270"/>
    </row>
    <row r="82" spans="2:19" ht="12.75" customHeight="1">
      <c r="B82" s="598">
        <f t="shared" si="1"/>
        <v>72</v>
      </c>
      <c r="D82" s="316" t="s">
        <v>187</v>
      </c>
      <c r="E82" s="598"/>
      <c r="F82" s="308"/>
      <c r="G82" s="308"/>
      <c r="H82" s="269"/>
      <c r="I82" s="348"/>
      <c r="J82" s="270"/>
      <c r="K82" s="270"/>
      <c r="L82" s="268"/>
      <c r="Q82" s="270"/>
      <c r="R82" s="270"/>
      <c r="S82" s="270"/>
    </row>
    <row r="83" spans="2:19" ht="12.75" customHeight="1">
      <c r="B83" s="598">
        <f t="shared" si="1"/>
        <v>73</v>
      </c>
      <c r="D83" s="316" t="s">
        <v>308</v>
      </c>
      <c r="E83" s="598"/>
      <c r="F83" s="308">
        <f>'Rate Plan Rates'!G35</f>
        <v>1.306E-2</v>
      </c>
      <c r="G83" s="308">
        <f>'Summary of Rates'!H76</f>
        <v>1.306E-2</v>
      </c>
      <c r="H83" s="269">
        <f t="shared" si="12"/>
        <v>0</v>
      </c>
      <c r="I83" s="348">
        <f>'Total Rate Impact'!I82</f>
        <v>1712708.2929635758</v>
      </c>
      <c r="J83" s="270"/>
      <c r="K83" s="270">
        <f t="shared" ref="K83:K88" si="14">ROUND(H83*I83,2)</f>
        <v>0</v>
      </c>
      <c r="L83" s="268"/>
      <c r="Q83" s="270"/>
      <c r="R83" s="270"/>
      <c r="S83" s="270"/>
    </row>
    <row r="84" spans="2:19" ht="12.75" customHeight="1">
      <c r="B84" s="598">
        <f t="shared" ref="B84:B105" si="15">B83+1</f>
        <v>74</v>
      </c>
      <c r="D84" s="316" t="s">
        <v>309</v>
      </c>
      <c r="E84" s="598"/>
      <c r="F84" s="308">
        <f>'Rate Plan Rates'!G36</f>
        <v>7.9000000000000008E-3</v>
      </c>
      <c r="G84" s="308">
        <f>'Summary of Rates'!H77</f>
        <v>7.9000000000000008E-3</v>
      </c>
      <c r="H84" s="269">
        <f t="shared" si="12"/>
        <v>0</v>
      </c>
      <c r="I84" s="348">
        <f>'Total Rate Impact'!I83</f>
        <v>1678435.3814066323</v>
      </c>
      <c r="J84" s="270"/>
      <c r="K84" s="270">
        <f t="shared" si="14"/>
        <v>0</v>
      </c>
      <c r="L84" s="268"/>
      <c r="Q84" s="270"/>
      <c r="R84" s="270"/>
      <c r="S84" s="270"/>
    </row>
    <row r="85" spans="2:19" ht="12.75" customHeight="1">
      <c r="B85" s="598">
        <f t="shared" si="15"/>
        <v>75</v>
      </c>
      <c r="D85" s="316" t="s">
        <v>319</v>
      </c>
      <c r="E85" s="598"/>
      <c r="F85" s="308">
        <f>'Rate Plan Rates'!G37</f>
        <v>5.0299999999999997E-3</v>
      </c>
      <c r="G85" s="308">
        <f>'Summary of Rates'!H78</f>
        <v>5.0299999999999997E-3</v>
      </c>
      <c r="H85" s="269">
        <f t="shared" si="12"/>
        <v>0</v>
      </c>
      <c r="I85" s="348">
        <f>'Total Rate Impact'!I84</f>
        <v>3022025.8802915858</v>
      </c>
      <c r="J85" s="270"/>
      <c r="K85" s="270">
        <f t="shared" si="14"/>
        <v>0</v>
      </c>
      <c r="L85" s="268"/>
      <c r="Q85" s="270"/>
      <c r="R85" s="270"/>
      <c r="S85" s="270"/>
    </row>
    <row r="86" spans="2:19" ht="12.75" customHeight="1">
      <c r="B86" s="598">
        <f t="shared" si="15"/>
        <v>76</v>
      </c>
      <c r="D86" s="316" t="s">
        <v>267</v>
      </c>
      <c r="E86" s="598"/>
      <c r="F86" s="308">
        <f>'Rate Plan Rates'!G38</f>
        <v>3.2200000000000002E-3</v>
      </c>
      <c r="G86" s="308">
        <f>'Summary of Rates'!H79</f>
        <v>3.2200000000000002E-3</v>
      </c>
      <c r="H86" s="269">
        <f t="shared" si="12"/>
        <v>0</v>
      </c>
      <c r="I86" s="348">
        <f>'Total Rate Impact'!I85</f>
        <v>3504663.5853285049</v>
      </c>
      <c r="J86" s="270"/>
      <c r="K86" s="270">
        <f t="shared" si="14"/>
        <v>0</v>
      </c>
      <c r="L86" s="268"/>
      <c r="Q86" s="270"/>
      <c r="R86" s="270"/>
      <c r="S86" s="270"/>
    </row>
    <row r="87" spans="2:19" ht="12.75" customHeight="1">
      <c r="B87" s="598">
        <f t="shared" si="15"/>
        <v>77</v>
      </c>
      <c r="D87" s="602" t="s">
        <v>268</v>
      </c>
      <c r="E87" s="598"/>
      <c r="F87" s="308">
        <f>'Rate Plan Rates'!G39</f>
        <v>2.32E-3</v>
      </c>
      <c r="G87" s="308">
        <f>'Summary of Rates'!H80</f>
        <v>2.32E-3</v>
      </c>
      <c r="H87" s="269">
        <f t="shared" si="12"/>
        <v>0</v>
      </c>
      <c r="I87" s="348">
        <f>'Total Rate Impact'!I86</f>
        <v>4346628.3053790834</v>
      </c>
      <c r="J87" s="270"/>
      <c r="K87" s="270">
        <f t="shared" si="14"/>
        <v>0</v>
      </c>
      <c r="L87" s="268"/>
      <c r="Q87" s="270"/>
      <c r="R87" s="270"/>
      <c r="S87" s="270"/>
    </row>
    <row r="88" spans="2:19" ht="12.75" customHeight="1">
      <c r="B88" s="598">
        <f t="shared" si="15"/>
        <v>78</v>
      </c>
      <c r="D88" s="316" t="s">
        <v>320</v>
      </c>
      <c r="E88" s="598"/>
      <c r="F88" s="308">
        <f>'Rate Plan Rates'!G40</f>
        <v>1.7799999999999999E-3</v>
      </c>
      <c r="G88" s="308">
        <f>'Summary of Rates'!H81</f>
        <v>1.7799999999999999E-3</v>
      </c>
      <c r="H88" s="269">
        <f t="shared" si="12"/>
        <v>0</v>
      </c>
      <c r="I88" s="357">
        <f>'Total Rate Impact'!I87</f>
        <v>9503867.5546306185</v>
      </c>
      <c r="J88" s="270"/>
      <c r="K88" s="272">
        <f t="shared" si="14"/>
        <v>0</v>
      </c>
      <c r="L88" s="268"/>
      <c r="Q88" s="270"/>
      <c r="R88" s="270"/>
      <c r="S88" s="270"/>
    </row>
    <row r="89" spans="2:19" ht="12.75" customHeight="1">
      <c r="B89" s="598">
        <f t="shared" si="15"/>
        <v>79</v>
      </c>
      <c r="D89" s="316" t="s">
        <v>143</v>
      </c>
      <c r="E89" s="598"/>
      <c r="F89" s="277"/>
      <c r="G89" s="297"/>
      <c r="H89" s="297"/>
      <c r="I89" s="267">
        <f>SUM(I83:I88)</f>
        <v>23768329</v>
      </c>
      <c r="J89" s="270">
        <f>'Rate Impact Rev'!O27</f>
        <v>9906575.931720702</v>
      </c>
      <c r="K89" s="270">
        <f>SUM(K80:K88)</f>
        <v>0</v>
      </c>
      <c r="L89" s="268">
        <f>K89/J89</f>
        <v>0</v>
      </c>
      <c r="Q89" s="270"/>
      <c r="R89" s="270"/>
      <c r="S89" s="270"/>
    </row>
    <row r="90" spans="2:19" ht="12.75" customHeight="1">
      <c r="B90" s="598">
        <f t="shared" si="15"/>
        <v>80</v>
      </c>
      <c r="E90" s="598"/>
      <c r="F90" s="277"/>
      <c r="G90" s="297"/>
      <c r="H90" s="297"/>
      <c r="I90" s="267"/>
      <c r="J90" s="270"/>
      <c r="K90" s="270"/>
      <c r="L90" s="268"/>
      <c r="Q90" s="270"/>
      <c r="R90" s="270"/>
      <c r="S90" s="270"/>
    </row>
    <row r="91" spans="2:19" ht="12.75" customHeight="1">
      <c r="B91" s="598">
        <f t="shared" si="15"/>
        <v>81</v>
      </c>
      <c r="C91" s="316" t="s">
        <v>311</v>
      </c>
      <c r="E91" s="598" t="s">
        <v>245</v>
      </c>
      <c r="F91" s="277"/>
      <c r="G91" s="297"/>
      <c r="H91" s="297"/>
      <c r="I91" s="267"/>
      <c r="J91" s="270"/>
      <c r="K91" s="270"/>
      <c r="L91" s="268"/>
      <c r="Q91" s="270"/>
      <c r="R91" s="270"/>
      <c r="S91" s="270"/>
    </row>
    <row r="92" spans="2:19" ht="12.75" customHeight="1">
      <c r="B92" s="598">
        <f t="shared" si="15"/>
        <v>82</v>
      </c>
      <c r="D92" s="316" t="s">
        <v>307</v>
      </c>
      <c r="E92" s="598"/>
      <c r="F92" s="427">
        <f>'Rate Plan Rates'!G43</f>
        <v>83.78</v>
      </c>
      <c r="G92" s="427">
        <f>'Summary of Rates'!H84</f>
        <v>83.78</v>
      </c>
      <c r="H92" s="297"/>
      <c r="I92" s="267"/>
      <c r="J92" s="270"/>
      <c r="K92" s="270"/>
      <c r="L92" s="268"/>
      <c r="Q92" s="270"/>
      <c r="R92" s="270"/>
      <c r="S92" s="270"/>
    </row>
    <row r="93" spans="2:19" ht="12.75" customHeight="1">
      <c r="B93" s="598">
        <f t="shared" si="15"/>
        <v>83</v>
      </c>
      <c r="D93" s="316" t="s">
        <v>186</v>
      </c>
      <c r="E93" s="598"/>
      <c r="F93" s="427">
        <v>0</v>
      </c>
      <c r="G93" s="426">
        <v>0</v>
      </c>
      <c r="H93" s="269">
        <f t="shared" ref="H93:H100" si="16">G93-F93</f>
        <v>0</v>
      </c>
      <c r="I93" s="348">
        <f>'Total Rate Impact'!I92</f>
        <v>574392</v>
      </c>
      <c r="J93" s="270"/>
      <c r="K93" s="270">
        <f>ROUND(H93*I93,2)</f>
        <v>0</v>
      </c>
      <c r="L93" s="268"/>
      <c r="Q93" s="270"/>
      <c r="R93" s="270"/>
      <c r="S93" s="270"/>
    </row>
    <row r="94" spans="2:19" ht="12.75" customHeight="1">
      <c r="B94" s="598">
        <f t="shared" si="15"/>
        <v>84</v>
      </c>
      <c r="D94" s="316" t="s">
        <v>187</v>
      </c>
      <c r="E94" s="598"/>
      <c r="F94" s="308"/>
      <c r="G94" s="308"/>
      <c r="H94" s="269"/>
      <c r="I94" s="348"/>
      <c r="J94" s="270"/>
      <c r="K94" s="270"/>
      <c r="L94" s="268"/>
      <c r="Q94" s="270"/>
      <c r="R94" s="270"/>
      <c r="S94" s="270"/>
    </row>
    <row r="95" spans="2:19" ht="12.75" customHeight="1">
      <c r="B95" s="598">
        <f t="shared" si="15"/>
        <v>85</v>
      </c>
      <c r="D95" s="316" t="s">
        <v>308</v>
      </c>
      <c r="E95" s="598"/>
      <c r="F95" s="308">
        <f>'Rate Plan Rates'!G47</f>
        <v>1.306E-2</v>
      </c>
      <c r="G95" s="308">
        <f>'Summary of Rates'!H87</f>
        <v>1.306E-2</v>
      </c>
      <c r="H95" s="269">
        <f t="shared" si="16"/>
        <v>0</v>
      </c>
      <c r="I95" s="348">
        <f>'Total Rate Impact'!I94</f>
        <v>3684045.4891521856</v>
      </c>
      <c r="J95" s="270"/>
      <c r="K95" s="270">
        <f t="shared" ref="K95:K100" si="17">ROUND(H95*I95,2)</f>
        <v>0</v>
      </c>
      <c r="L95" s="268"/>
      <c r="Q95" s="270"/>
      <c r="R95" s="270"/>
      <c r="S95" s="270"/>
    </row>
    <row r="96" spans="2:19" ht="12.75" customHeight="1">
      <c r="B96" s="598">
        <f t="shared" si="15"/>
        <v>86</v>
      </c>
      <c r="D96" s="316" t="s">
        <v>309</v>
      </c>
      <c r="E96" s="598"/>
      <c r="F96" s="308">
        <f>'Rate Plan Rates'!G48</f>
        <v>7.9000000000000008E-3</v>
      </c>
      <c r="G96" s="308">
        <f>'Summary of Rates'!H88</f>
        <v>7.9000000000000008E-3</v>
      </c>
      <c r="H96" s="269">
        <f t="shared" si="16"/>
        <v>0</v>
      </c>
      <c r="I96" s="348">
        <f>'Total Rate Impact'!I95</f>
        <v>3651096.0015273923</v>
      </c>
      <c r="J96" s="270"/>
      <c r="K96" s="270">
        <f t="shared" si="17"/>
        <v>0</v>
      </c>
      <c r="L96" s="268"/>
      <c r="Q96" s="270"/>
      <c r="R96" s="270"/>
      <c r="S96" s="270"/>
    </row>
    <row r="97" spans="2:19" ht="12.75" customHeight="1">
      <c r="B97" s="598">
        <f t="shared" si="15"/>
        <v>87</v>
      </c>
      <c r="D97" s="316" t="s">
        <v>319</v>
      </c>
      <c r="E97" s="598"/>
      <c r="F97" s="308">
        <f>'Rate Plan Rates'!G49</f>
        <v>5.0299999999999997E-3</v>
      </c>
      <c r="G97" s="308">
        <f>'Summary of Rates'!H89</f>
        <v>5.0299999999999997E-3</v>
      </c>
      <c r="H97" s="269">
        <f t="shared" si="16"/>
        <v>0</v>
      </c>
      <c r="I97" s="348">
        <f>'Total Rate Impact'!I96</f>
        <v>7084885.7687931526</v>
      </c>
      <c r="J97" s="270"/>
      <c r="K97" s="270">
        <f t="shared" si="17"/>
        <v>0</v>
      </c>
      <c r="L97" s="268"/>
      <c r="Q97" s="270"/>
      <c r="R97" s="270"/>
      <c r="S97" s="270"/>
    </row>
    <row r="98" spans="2:19" ht="12.75" customHeight="1">
      <c r="B98" s="598">
        <f t="shared" si="15"/>
        <v>88</v>
      </c>
      <c r="D98" s="316" t="s">
        <v>267</v>
      </c>
      <c r="E98" s="598"/>
      <c r="F98" s="308">
        <f>'Rate Plan Rates'!G50</f>
        <v>3.2200000000000002E-3</v>
      </c>
      <c r="G98" s="308">
        <f>'Summary of Rates'!H90</f>
        <v>3.2200000000000002E-3</v>
      </c>
      <c r="H98" s="269">
        <f t="shared" si="16"/>
        <v>0</v>
      </c>
      <c r="I98" s="348">
        <f>'Total Rate Impact'!I97</f>
        <v>12940154.681795362</v>
      </c>
      <c r="J98" s="270"/>
      <c r="K98" s="270">
        <f t="shared" si="17"/>
        <v>0</v>
      </c>
      <c r="L98" s="268"/>
      <c r="Q98" s="270"/>
      <c r="R98" s="270"/>
      <c r="S98" s="270"/>
    </row>
    <row r="99" spans="2:19" ht="12.75" customHeight="1">
      <c r="B99" s="598">
        <f t="shared" si="15"/>
        <v>89</v>
      </c>
      <c r="D99" s="602" t="s">
        <v>268</v>
      </c>
      <c r="E99" s="598"/>
      <c r="F99" s="308">
        <f>'Rate Plan Rates'!G51</f>
        <v>2.32E-3</v>
      </c>
      <c r="G99" s="308">
        <f>'Summary of Rates'!H91</f>
        <v>2.32E-3</v>
      </c>
      <c r="H99" s="269">
        <f t="shared" si="16"/>
        <v>0</v>
      </c>
      <c r="I99" s="348">
        <f>'Total Rate Impact'!I98</f>
        <v>28710499.330322787</v>
      </c>
      <c r="J99" s="270"/>
      <c r="K99" s="270">
        <f t="shared" si="17"/>
        <v>0</v>
      </c>
      <c r="L99" s="268"/>
      <c r="Q99" s="270"/>
      <c r="R99" s="270"/>
      <c r="S99" s="270"/>
    </row>
    <row r="100" spans="2:19" ht="12.75" customHeight="1">
      <c r="B100" s="598">
        <f t="shared" si="15"/>
        <v>90</v>
      </c>
      <c r="D100" s="316" t="s">
        <v>320</v>
      </c>
      <c r="E100" s="598"/>
      <c r="F100" s="308">
        <f>'Rate Plan Rates'!G52</f>
        <v>1.7799999999999999E-3</v>
      </c>
      <c r="G100" s="308">
        <f>'Summary of Rates'!H92</f>
        <v>1.7799999999999999E-3</v>
      </c>
      <c r="H100" s="269">
        <f t="shared" si="16"/>
        <v>0</v>
      </c>
      <c r="I100" s="357">
        <f>'Total Rate Impact'!I99</f>
        <v>39455317.728409119</v>
      </c>
      <c r="J100" s="270"/>
      <c r="K100" s="272">
        <f t="shared" si="17"/>
        <v>0</v>
      </c>
      <c r="L100" s="268"/>
      <c r="Q100" s="270"/>
      <c r="R100" s="270"/>
      <c r="S100" s="270"/>
    </row>
    <row r="101" spans="2:19" ht="12.75" customHeight="1">
      <c r="B101" s="598">
        <f t="shared" si="15"/>
        <v>91</v>
      </c>
      <c r="D101" s="316" t="s">
        <v>143</v>
      </c>
      <c r="E101" s="598"/>
      <c r="F101" s="277"/>
      <c r="G101" s="297"/>
      <c r="H101" s="297"/>
      <c r="I101" s="267">
        <f>SUM(I95:I100)</f>
        <v>95525999</v>
      </c>
      <c r="J101" s="270">
        <f>'Rate Impact Rev'!O28</f>
        <v>5341515.8033254789</v>
      </c>
      <c r="K101" s="270">
        <f>SUM(K93:K100)</f>
        <v>0</v>
      </c>
      <c r="L101" s="268">
        <f>K101/J101</f>
        <v>0</v>
      </c>
      <c r="Q101" s="270"/>
      <c r="R101" s="270"/>
      <c r="S101" s="270"/>
    </row>
    <row r="102" spans="2:19" ht="12.75" customHeight="1">
      <c r="B102" s="598">
        <f t="shared" si="15"/>
        <v>92</v>
      </c>
      <c r="E102" s="598"/>
      <c r="F102" s="277"/>
      <c r="G102" s="297"/>
      <c r="H102" s="297"/>
      <c r="I102" s="267"/>
      <c r="J102" s="270"/>
      <c r="K102" s="270"/>
      <c r="L102" s="268"/>
      <c r="Q102" s="270"/>
      <c r="R102" s="270"/>
      <c r="S102" s="270"/>
    </row>
    <row r="103" spans="2:19" ht="12.75" customHeight="1">
      <c r="B103" s="598">
        <f t="shared" si="15"/>
        <v>93</v>
      </c>
      <c r="D103" s="316" t="s">
        <v>321</v>
      </c>
      <c r="E103" s="598" t="s">
        <v>322</v>
      </c>
      <c r="F103" s="277"/>
      <c r="G103" s="297"/>
      <c r="H103" s="297"/>
      <c r="I103" s="267"/>
      <c r="J103" s="270">
        <f>J89+J101</f>
        <v>15248091.735046182</v>
      </c>
      <c r="K103" s="270">
        <f>K89+K101</f>
        <v>0</v>
      </c>
      <c r="L103" s="268">
        <f>K103/J103</f>
        <v>0</v>
      </c>
      <c r="Q103" s="270"/>
      <c r="R103" s="270"/>
      <c r="S103" s="270"/>
    </row>
    <row r="104" spans="2:19" ht="12.75" customHeight="1">
      <c r="B104" s="598">
        <f t="shared" si="15"/>
        <v>94</v>
      </c>
      <c r="E104" s="598"/>
      <c r="F104" s="277"/>
      <c r="G104" s="297"/>
      <c r="H104" s="297"/>
      <c r="I104" s="267"/>
      <c r="J104" s="270"/>
      <c r="K104" s="270"/>
      <c r="L104" s="268"/>
      <c r="Q104" s="270"/>
      <c r="R104" s="270"/>
      <c r="S104" s="270"/>
    </row>
    <row r="105" spans="2:19" ht="12.75" customHeight="1">
      <c r="B105" s="598">
        <f t="shared" si="15"/>
        <v>95</v>
      </c>
      <c r="D105" s="316" t="s">
        <v>143</v>
      </c>
      <c r="E105" s="598"/>
      <c r="F105" s="297"/>
      <c r="G105" s="297"/>
      <c r="H105" s="297"/>
      <c r="I105" s="267">
        <f>I12+I14+I19+I28+I36+I48+I57+I67+I74+I89+I101</f>
        <v>1159941983.3322129</v>
      </c>
      <c r="J105" s="270">
        <f>J12+J14+J19+J28+J36+J48+J57+J67+J74+J89+J101</f>
        <v>902031592.11784625</v>
      </c>
      <c r="K105" s="270">
        <f>K12+K14+K19+K28+K36+K48+K57+K67+K74+K89+K101</f>
        <v>9577818.1900000013</v>
      </c>
      <c r="L105" s="268">
        <f>K105/J105</f>
        <v>1.0618051821791074E-2</v>
      </c>
      <c r="Q105" s="270"/>
      <c r="R105" s="270"/>
      <c r="S105" s="270"/>
    </row>
    <row r="106" spans="2:19" ht="12.75" customHeight="1">
      <c r="R106" s="270"/>
    </row>
    <row r="107" spans="2:19" ht="12.75" customHeight="1">
      <c r="B107" s="276"/>
      <c r="C107" s="315"/>
      <c r="D107" s="601"/>
      <c r="R107" s="270"/>
    </row>
    <row r="108" spans="2:19" ht="12.75" customHeight="1">
      <c r="B108" s="276"/>
      <c r="C108" s="628"/>
      <c r="D108" s="629"/>
      <c r="E108" s="629"/>
      <c r="F108" s="629"/>
      <c r="G108" s="629"/>
      <c r="H108" s="629"/>
      <c r="I108" s="629"/>
      <c r="J108" s="629"/>
      <c r="K108" s="629"/>
      <c r="L108" s="629"/>
      <c r="R108" s="270"/>
    </row>
    <row r="109" spans="2:19">
      <c r="C109" s="315"/>
      <c r="R109" s="270"/>
    </row>
    <row r="110" spans="2:19">
      <c r="R110" s="270"/>
    </row>
    <row r="111" spans="2:19">
      <c r="R111" s="270"/>
    </row>
    <row r="112" spans="2:19">
      <c r="R112" s="270"/>
    </row>
    <row r="113" spans="18:18">
      <c r="R113" s="270"/>
    </row>
    <row r="114" spans="18:18">
      <c r="R114" s="270"/>
    </row>
    <row r="115" spans="18:18">
      <c r="R115" s="270"/>
    </row>
    <row r="116" spans="18:18">
      <c r="R116" s="270"/>
    </row>
    <row r="117" spans="18:18">
      <c r="R117" s="270"/>
    </row>
    <row r="118" spans="18:18">
      <c r="R118" s="270"/>
    </row>
    <row r="119" spans="18:18">
      <c r="R119" s="270"/>
    </row>
    <row r="120" spans="18:18">
      <c r="R120" s="270"/>
    </row>
    <row r="121" spans="18:18">
      <c r="R121" s="270"/>
    </row>
    <row r="122" spans="18:18">
      <c r="R122" s="270"/>
    </row>
    <row r="123" spans="18:18">
      <c r="R123" s="270"/>
    </row>
    <row r="124" spans="18:18">
      <c r="R124" s="270"/>
    </row>
    <row r="125" spans="18:18">
      <c r="R125" s="270"/>
    </row>
    <row r="126" spans="18:18">
      <c r="R126" s="270"/>
    </row>
    <row r="127" spans="18:18">
      <c r="R127" s="270"/>
    </row>
    <row r="128" spans="18:18">
      <c r="R128" s="270"/>
    </row>
    <row r="129" spans="18:18">
      <c r="R129" s="270"/>
    </row>
    <row r="130" spans="18:18">
      <c r="R130" s="270"/>
    </row>
    <row r="131" spans="18:18">
      <c r="R131" s="270"/>
    </row>
    <row r="132" spans="18:18">
      <c r="R132" s="270"/>
    </row>
    <row r="133" spans="18:18">
      <c r="R133" s="270"/>
    </row>
    <row r="134" spans="18:18">
      <c r="R134" s="270"/>
    </row>
    <row r="135" spans="18:18">
      <c r="R135" s="270"/>
    </row>
    <row r="136" spans="18:18">
      <c r="R136" s="270"/>
    </row>
    <row r="137" spans="18:18">
      <c r="R137" s="270"/>
    </row>
    <row r="138" spans="18:18">
      <c r="R138" s="270"/>
    </row>
    <row r="139" spans="18:18">
      <c r="R139" s="270"/>
    </row>
    <row r="140" spans="18:18">
      <c r="R140" s="270"/>
    </row>
    <row r="141" spans="18:18">
      <c r="R141" s="270"/>
    </row>
    <row r="142" spans="18:18">
      <c r="R142" s="270"/>
    </row>
    <row r="143" spans="18:18">
      <c r="R143" s="270"/>
    </row>
    <row r="144" spans="18:18">
      <c r="R144" s="270"/>
    </row>
    <row r="145" spans="18:18">
      <c r="R145" s="270"/>
    </row>
  </sheetData>
  <mergeCells count="5">
    <mergeCell ref="B2:L2"/>
    <mergeCell ref="B3:L3"/>
    <mergeCell ref="B4:L4"/>
    <mergeCell ref="C9:D9"/>
    <mergeCell ref="C108:L108"/>
  </mergeCells>
  <printOptions horizontalCentered="1"/>
  <pageMargins left="0.7" right="0.7" top="0.75" bottom="0.75" header="0.3" footer="0.3"/>
  <pageSetup scale="85"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S143"/>
  <sheetViews>
    <sheetView zoomScale="58" workbookViewId="0">
      <selection activeCell="I68" sqref="I68"/>
    </sheetView>
  </sheetViews>
  <sheetFormatPr baseColWidth="10" defaultColWidth="9.1640625" defaultRowHeight="13"/>
  <cols>
    <col min="1" max="1" width="2.33203125" style="260" customWidth="1"/>
    <col min="2" max="2" width="5.33203125" style="260" customWidth="1"/>
    <col min="3" max="3" width="2.33203125" style="260" customWidth="1"/>
    <col min="4" max="4" width="27.1640625" style="260" bestFit="1" customWidth="1"/>
    <col min="5" max="5" width="11.33203125" style="260" customWidth="1"/>
    <col min="6" max="8" width="11.6640625" style="260" customWidth="1"/>
    <col min="9" max="9" width="15.5" style="260" customWidth="1"/>
    <col min="10" max="10" width="15.33203125" style="260" bestFit="1" customWidth="1"/>
    <col min="11" max="11" width="12.33203125" style="260" customWidth="1"/>
    <col min="12" max="12" width="11.33203125" style="260" bestFit="1" customWidth="1"/>
    <col min="13" max="14" width="10.5" style="260" customWidth="1"/>
    <col min="15" max="16" width="9.1640625" style="260"/>
    <col min="17" max="18" width="11.33203125" style="260" bestFit="1" customWidth="1"/>
    <col min="19" max="19" width="9.6640625" style="260" bestFit="1" customWidth="1"/>
    <col min="20" max="16384" width="9.1640625" style="260"/>
  </cols>
  <sheetData>
    <row r="1" spans="2:19">
      <c r="B1" s="258" t="s">
        <v>22</v>
      </c>
      <c r="C1" s="258"/>
      <c r="D1" s="258"/>
      <c r="E1" s="258"/>
      <c r="F1" s="258"/>
      <c r="G1" s="258"/>
      <c r="H1" s="258"/>
      <c r="I1" s="258"/>
      <c r="J1" s="258"/>
      <c r="K1" s="258"/>
      <c r="L1" s="258"/>
      <c r="M1" s="259"/>
      <c r="N1" s="259"/>
      <c r="O1" s="316"/>
      <c r="P1" s="316"/>
      <c r="Q1" s="316"/>
      <c r="R1" s="316"/>
      <c r="S1" s="316"/>
    </row>
    <row r="2" spans="2:19">
      <c r="B2" s="619" t="str">
        <f>'Rate Change Calc'!A2</f>
        <v>2016 Gas Decoupling Filing</v>
      </c>
      <c r="C2" s="619"/>
      <c r="D2" s="619"/>
      <c r="E2" s="619"/>
      <c r="F2" s="619"/>
      <c r="G2" s="619"/>
      <c r="H2" s="619"/>
      <c r="I2" s="619"/>
      <c r="J2" s="619"/>
      <c r="K2" s="619"/>
      <c r="L2" s="619"/>
      <c r="M2" s="259"/>
      <c r="N2" s="259"/>
      <c r="O2" s="316"/>
      <c r="P2" s="316"/>
      <c r="Q2" s="316"/>
      <c r="R2" s="316"/>
      <c r="S2" s="316"/>
    </row>
    <row r="3" spans="2:19">
      <c r="B3" s="626" t="s">
        <v>324</v>
      </c>
      <c r="C3" s="626"/>
      <c r="D3" s="626"/>
      <c r="E3" s="626"/>
      <c r="F3" s="626"/>
      <c r="G3" s="626"/>
      <c r="H3" s="626"/>
      <c r="I3" s="626"/>
      <c r="J3" s="626"/>
      <c r="K3" s="626"/>
      <c r="L3" s="626"/>
      <c r="M3" s="259"/>
      <c r="N3" s="259"/>
      <c r="O3" s="316"/>
      <c r="P3" s="316"/>
      <c r="Q3" s="316"/>
      <c r="R3" s="316"/>
      <c r="S3" s="316"/>
    </row>
    <row r="4" spans="2:19">
      <c r="B4" s="619" t="str">
        <f>'Rate Change Calc'!A4</f>
        <v>Proposed Effective May 1, 2016</v>
      </c>
      <c r="C4" s="619"/>
      <c r="D4" s="619"/>
      <c r="E4" s="619"/>
      <c r="F4" s="619"/>
      <c r="G4" s="619"/>
      <c r="H4" s="619"/>
      <c r="I4" s="619"/>
      <c r="J4" s="619"/>
      <c r="K4" s="619"/>
      <c r="L4" s="619"/>
      <c r="M4" s="259"/>
      <c r="N4" s="259"/>
      <c r="O4" s="316"/>
      <c r="P4" s="316"/>
      <c r="Q4" s="316"/>
      <c r="R4" s="316"/>
      <c r="S4" s="316"/>
    </row>
    <row r="5" spans="2:19">
      <c r="B5" s="261"/>
      <c r="C5" s="261"/>
      <c r="D5" s="261"/>
      <c r="E5" s="261"/>
      <c r="F5" s="261"/>
      <c r="G5" s="261"/>
      <c r="H5" s="261"/>
      <c r="I5" s="261"/>
      <c r="J5" s="261"/>
      <c r="K5" s="261"/>
      <c r="L5" s="261"/>
      <c r="M5" s="259"/>
      <c r="N5" s="259"/>
      <c r="O5" s="316"/>
      <c r="P5" s="316"/>
      <c r="Q5" s="316"/>
      <c r="R5" s="316"/>
      <c r="S5" s="316"/>
    </row>
    <row r="6" spans="2:19" ht="15" customHeight="1">
      <c r="B6" s="316"/>
      <c r="C6" s="316"/>
      <c r="D6" s="316"/>
      <c r="E6" s="598"/>
      <c r="F6" s="392" t="s">
        <v>273</v>
      </c>
      <c r="G6" s="392" t="s">
        <v>273</v>
      </c>
      <c r="H6" s="392" t="s">
        <v>273</v>
      </c>
      <c r="I6" s="598" t="s">
        <v>276</v>
      </c>
      <c r="J6" s="262"/>
      <c r="K6" s="598" t="s">
        <v>274</v>
      </c>
      <c r="L6" s="598"/>
      <c r="M6" s="316"/>
      <c r="N6" s="316"/>
      <c r="O6" s="316"/>
      <c r="P6" s="316"/>
      <c r="Q6" s="316"/>
      <c r="R6" s="316"/>
      <c r="S6" s="316"/>
    </row>
    <row r="7" spans="2:19" ht="15" customHeight="1">
      <c r="B7" s="598" t="s">
        <v>168</v>
      </c>
      <c r="C7" s="316"/>
      <c r="D7" s="316"/>
      <c r="E7" s="598" t="s">
        <v>277</v>
      </c>
      <c r="F7" s="392" t="s">
        <v>278</v>
      </c>
      <c r="G7" s="392" t="s">
        <v>279</v>
      </c>
      <c r="H7" s="392" t="s">
        <v>280</v>
      </c>
      <c r="I7" s="598" t="s">
        <v>281</v>
      </c>
      <c r="J7" s="263" t="s">
        <v>282</v>
      </c>
      <c r="K7" s="598" t="s">
        <v>283</v>
      </c>
      <c r="L7" s="598" t="s">
        <v>284</v>
      </c>
      <c r="M7" s="316"/>
      <c r="N7" s="316"/>
      <c r="O7" s="316"/>
      <c r="P7" s="316"/>
      <c r="Q7" s="316"/>
      <c r="R7" s="316"/>
      <c r="S7" s="316"/>
    </row>
    <row r="8" spans="2:19" ht="15">
      <c r="B8" s="600" t="s">
        <v>285</v>
      </c>
      <c r="C8" s="627"/>
      <c r="D8" s="627"/>
      <c r="E8" s="600" t="s">
        <v>287</v>
      </c>
      <c r="F8" s="264" t="s">
        <v>174</v>
      </c>
      <c r="G8" s="264" t="s">
        <v>174</v>
      </c>
      <c r="H8" s="264" t="s">
        <v>288</v>
      </c>
      <c r="I8" s="600" t="s">
        <v>325</v>
      </c>
      <c r="J8" s="264" t="s">
        <v>289</v>
      </c>
      <c r="K8" s="600" t="s">
        <v>290</v>
      </c>
      <c r="L8" s="600" t="s">
        <v>288</v>
      </c>
      <c r="M8" s="265"/>
      <c r="N8" s="266"/>
      <c r="O8" s="316"/>
      <c r="P8" s="316"/>
      <c r="Q8" s="316"/>
      <c r="R8" s="316"/>
      <c r="S8" s="316"/>
    </row>
    <row r="9" spans="2:19" ht="15">
      <c r="B9" s="265"/>
      <c r="C9" s="262"/>
      <c r="D9" s="262" t="s">
        <v>30</v>
      </c>
      <c r="E9" s="262" t="s">
        <v>31</v>
      </c>
      <c r="F9" s="263" t="s">
        <v>32</v>
      </c>
      <c r="G9" s="263" t="s">
        <v>33</v>
      </c>
      <c r="H9" s="445" t="s">
        <v>326</v>
      </c>
      <c r="I9" s="263" t="s">
        <v>291</v>
      </c>
      <c r="J9" s="263" t="s">
        <v>292</v>
      </c>
      <c r="K9" s="445" t="s">
        <v>327</v>
      </c>
      <c r="L9" s="445" t="s">
        <v>328</v>
      </c>
      <c r="M9" s="265"/>
      <c r="N9" s="266"/>
      <c r="O9" s="316"/>
      <c r="P9" s="316"/>
      <c r="Q9" s="316"/>
      <c r="R9" s="316"/>
      <c r="S9" s="316"/>
    </row>
    <row r="10" spans="2:19" ht="12.75" customHeight="1">
      <c r="B10" s="598">
        <v>1</v>
      </c>
      <c r="C10" s="262"/>
      <c r="D10" s="262"/>
      <c r="E10" s="262"/>
      <c r="F10" s="263"/>
      <c r="G10" s="263"/>
      <c r="H10" s="263"/>
      <c r="I10" s="262"/>
      <c r="J10" s="263"/>
      <c r="K10" s="262"/>
      <c r="L10" s="262"/>
      <c r="M10" s="265"/>
      <c r="N10" s="266"/>
      <c r="O10" s="316"/>
      <c r="P10" s="316"/>
      <c r="Q10" s="316"/>
      <c r="R10" s="316"/>
      <c r="S10" s="316"/>
    </row>
    <row r="11" spans="2:19" ht="12.75" customHeight="1">
      <c r="B11" s="598">
        <f>B10+1</f>
        <v>2</v>
      </c>
      <c r="C11" s="316" t="s">
        <v>28</v>
      </c>
      <c r="D11" s="316"/>
      <c r="E11" s="598" t="s">
        <v>295</v>
      </c>
      <c r="F11" s="277">
        <v>3.9300000000000002E-2</v>
      </c>
      <c r="G11" s="308">
        <f>'Summary of Rates'!E11</f>
        <v>7.1569999999999995E-2</v>
      </c>
      <c r="H11" s="269">
        <f t="shared" ref="H11:H34" si="0">G11-F11</f>
        <v>3.2269999999999993E-2</v>
      </c>
      <c r="I11" s="466">
        <v>619608589</v>
      </c>
      <c r="J11" s="358">
        <f>'Rate Impact Rev'!O12</f>
        <v>618702290.63182127</v>
      </c>
      <c r="K11" s="270">
        <f>ROUND(H11*I11,2)</f>
        <v>19994769.170000002</v>
      </c>
      <c r="L11" s="268">
        <f>K11/J11</f>
        <v>3.2317270313612811E-2</v>
      </c>
      <c r="M11" s="316"/>
      <c r="N11" s="266"/>
      <c r="O11" s="316"/>
      <c r="P11" s="316"/>
      <c r="Q11" s="270"/>
      <c r="R11" s="270"/>
      <c r="S11" s="270"/>
    </row>
    <row r="12" spans="2:19" ht="12.75" customHeight="1">
      <c r="B12" s="598">
        <f t="shared" ref="B12:B82" si="1">B11+1</f>
        <v>3</v>
      </c>
      <c r="C12" s="316"/>
      <c r="D12" s="316"/>
      <c r="E12" s="598"/>
      <c r="F12" s="277"/>
      <c r="G12" s="308"/>
      <c r="H12" s="269"/>
      <c r="I12" s="356"/>
      <c r="J12" s="358"/>
      <c r="K12" s="270"/>
      <c r="L12" s="268"/>
      <c r="M12" s="316"/>
      <c r="N12" s="316"/>
      <c r="O12" s="316"/>
      <c r="P12" s="316"/>
      <c r="Q12" s="270"/>
      <c r="R12" s="270"/>
      <c r="S12" s="270"/>
    </row>
    <row r="13" spans="2:19" ht="12.75" customHeight="1">
      <c r="B13" s="598">
        <f t="shared" si="1"/>
        <v>4</v>
      </c>
      <c r="C13" s="316" t="s">
        <v>329</v>
      </c>
      <c r="D13" s="316"/>
      <c r="E13" s="598">
        <v>31</v>
      </c>
      <c r="F13" s="277">
        <v>3.0330000000000024E-2</v>
      </c>
      <c r="G13" s="308">
        <f>'Summary of Rates'!E17</f>
        <v>4.9260000000000026E-2</v>
      </c>
      <c r="H13" s="269">
        <f t="shared" si="0"/>
        <v>1.8930000000000002E-2</v>
      </c>
      <c r="I13" s="466">
        <v>226133776</v>
      </c>
      <c r="J13" s="358">
        <f>'Rate Impact Rev'!O14</f>
        <v>197689818.08888403</v>
      </c>
      <c r="K13" s="270">
        <f>ROUND(H13*I13,2)</f>
        <v>4280712.38</v>
      </c>
      <c r="L13" s="268">
        <f>K13/J13</f>
        <v>2.1653681617913846E-2</v>
      </c>
      <c r="M13" s="316"/>
      <c r="N13" s="266"/>
      <c r="O13" s="316"/>
      <c r="P13" s="316"/>
      <c r="Q13" s="270"/>
      <c r="R13" s="270"/>
      <c r="S13" s="270"/>
    </row>
    <row r="14" spans="2:19" s="316" customFormat="1" ht="12.75" customHeight="1">
      <c r="B14" s="598">
        <f t="shared" si="1"/>
        <v>5</v>
      </c>
      <c r="E14" s="598"/>
      <c r="F14" s="277"/>
      <c r="G14" s="308"/>
      <c r="H14" s="269"/>
      <c r="I14" s="466"/>
      <c r="J14" s="358"/>
      <c r="K14" s="270"/>
      <c r="L14" s="268"/>
      <c r="N14" s="266"/>
      <c r="Q14" s="270"/>
      <c r="R14" s="270"/>
      <c r="S14" s="270"/>
    </row>
    <row r="15" spans="2:19" s="316" customFormat="1" ht="12.75" customHeight="1">
      <c r="B15" s="598">
        <f t="shared" si="1"/>
        <v>6</v>
      </c>
      <c r="C15" s="316" t="s">
        <v>297</v>
      </c>
      <c r="E15" s="598" t="s">
        <v>241</v>
      </c>
      <c r="G15" s="308"/>
      <c r="H15" s="269"/>
      <c r="I15" s="466"/>
      <c r="J15" s="358"/>
      <c r="K15" s="270"/>
      <c r="L15" s="268"/>
      <c r="N15" s="266"/>
      <c r="Q15" s="270"/>
      <c r="R15" s="270"/>
      <c r="S15" s="270"/>
    </row>
    <row r="16" spans="2:19" s="316" customFormat="1" ht="12.75" customHeight="1">
      <c r="B16" s="598">
        <f t="shared" si="1"/>
        <v>7</v>
      </c>
      <c r="D16" s="316" t="s">
        <v>181</v>
      </c>
      <c r="E16" s="598"/>
      <c r="F16" s="277">
        <v>3.0329999999999999E-2</v>
      </c>
      <c r="G16" s="308">
        <f>'Summary of Rates'!E20</f>
        <v>4.9260000000000026E-2</v>
      </c>
      <c r="H16" s="269">
        <f t="shared" si="0"/>
        <v>1.8930000000000027E-2</v>
      </c>
      <c r="I16" s="466">
        <v>26158</v>
      </c>
      <c r="J16" s="358"/>
      <c r="K16" s="270">
        <f>ROUND(H16*I16,2)</f>
        <v>495.17</v>
      </c>
      <c r="L16" s="268"/>
      <c r="N16" s="266"/>
      <c r="Q16" s="270"/>
      <c r="R16" s="270"/>
      <c r="S16" s="270"/>
    </row>
    <row r="17" spans="2:19" s="316" customFormat="1" ht="12.75" customHeight="1">
      <c r="B17" s="598">
        <f t="shared" si="1"/>
        <v>8</v>
      </c>
      <c r="D17" s="316" t="s">
        <v>184</v>
      </c>
      <c r="E17" s="598"/>
      <c r="F17" s="277">
        <v>-5.2999999999999998E-4</v>
      </c>
      <c r="G17" s="308">
        <f>'Summary of Rates'!E21</f>
        <v>-8.7000000000000011E-4</v>
      </c>
      <c r="H17" s="269">
        <f t="shared" si="0"/>
        <v>-3.4000000000000013E-4</v>
      </c>
      <c r="I17" s="467">
        <v>26158</v>
      </c>
      <c r="J17" s="358"/>
      <c r="K17" s="272">
        <f>ROUND(H17*I17,2)</f>
        <v>-8.89</v>
      </c>
      <c r="L17" s="268"/>
      <c r="N17" s="266"/>
      <c r="Q17" s="270"/>
      <c r="R17" s="270"/>
      <c r="S17" s="270"/>
    </row>
    <row r="18" spans="2:19" s="316" customFormat="1" ht="12.75" customHeight="1">
      <c r="B18" s="598">
        <f t="shared" si="1"/>
        <v>9</v>
      </c>
      <c r="D18" s="316" t="s">
        <v>143</v>
      </c>
      <c r="E18" s="598"/>
      <c r="F18" s="277"/>
      <c r="G18" s="308"/>
      <c r="H18" s="269"/>
      <c r="I18" s="466">
        <f>I16</f>
        <v>26158</v>
      </c>
      <c r="J18" s="358">
        <f>'Rate Impact Rev'!O16</f>
        <v>12436.722595214333</v>
      </c>
      <c r="K18" s="270">
        <f>SUM(K16:K17)</f>
        <v>486.28000000000003</v>
      </c>
      <c r="L18" s="268">
        <f>K18/J18</f>
        <v>3.9100333409954904E-2</v>
      </c>
      <c r="N18" s="266"/>
      <c r="Q18" s="270"/>
      <c r="R18" s="270"/>
      <c r="S18" s="270"/>
    </row>
    <row r="19" spans="2:19" s="316" customFormat="1" ht="12.75" customHeight="1">
      <c r="B19" s="598">
        <f t="shared" si="1"/>
        <v>10</v>
      </c>
      <c r="E19" s="598"/>
      <c r="F19" s="277"/>
      <c r="G19" s="308"/>
      <c r="H19" s="269"/>
      <c r="I19" s="466"/>
      <c r="J19" s="358"/>
      <c r="K19" s="270"/>
      <c r="L19" s="268"/>
      <c r="N19" s="266"/>
      <c r="Q19" s="270"/>
      <c r="R19" s="270"/>
      <c r="S19" s="270"/>
    </row>
    <row r="20" spans="2:19" s="316" customFormat="1" ht="12.75" customHeight="1">
      <c r="B20" s="598">
        <f t="shared" si="1"/>
        <v>11</v>
      </c>
      <c r="D20" s="316" t="s">
        <v>298</v>
      </c>
      <c r="E20" s="598" t="s">
        <v>299</v>
      </c>
      <c r="F20" s="277"/>
      <c r="G20" s="308"/>
      <c r="H20" s="269"/>
      <c r="I20" s="267">
        <f>I13+I18</f>
        <v>226159934</v>
      </c>
      <c r="J20" s="270">
        <f>J13+J18</f>
        <v>197702254.81147924</v>
      </c>
      <c r="K20" s="270">
        <f>K13+K18</f>
        <v>4281198.66</v>
      </c>
      <c r="L20" s="268">
        <f>K20/J20</f>
        <v>2.1654779122688185E-2</v>
      </c>
      <c r="N20" s="266"/>
      <c r="Q20" s="270"/>
      <c r="R20" s="270"/>
      <c r="S20" s="270"/>
    </row>
    <row r="21" spans="2:19" ht="12.75" customHeight="1">
      <c r="B21" s="598">
        <f t="shared" si="1"/>
        <v>12</v>
      </c>
      <c r="C21" s="316"/>
      <c r="D21" s="316"/>
      <c r="E21" s="598"/>
      <c r="F21" s="277"/>
      <c r="G21" s="308"/>
      <c r="H21" s="269"/>
      <c r="I21" s="356"/>
      <c r="J21" s="358"/>
      <c r="K21" s="270"/>
      <c r="L21" s="268"/>
      <c r="M21" s="316"/>
      <c r="N21" s="316"/>
      <c r="O21" s="316"/>
      <c r="P21" s="316"/>
      <c r="Q21" s="270"/>
      <c r="R21" s="270"/>
      <c r="S21" s="270"/>
    </row>
    <row r="22" spans="2:19" ht="12.75" customHeight="1">
      <c r="B22" s="598">
        <f t="shared" si="1"/>
        <v>13</v>
      </c>
      <c r="C22" s="316" t="s">
        <v>300</v>
      </c>
      <c r="D22" s="316"/>
      <c r="E22" s="598">
        <v>41</v>
      </c>
      <c r="F22" s="277"/>
      <c r="G22" s="308"/>
      <c r="H22" s="269"/>
      <c r="I22" s="348"/>
      <c r="J22" s="358"/>
      <c r="K22" s="270"/>
      <c r="L22" s="268"/>
      <c r="M22" s="316"/>
      <c r="N22" s="266"/>
      <c r="O22" s="316"/>
      <c r="P22" s="316"/>
      <c r="Q22" s="270"/>
      <c r="R22" s="270"/>
      <c r="S22" s="270"/>
    </row>
    <row r="23" spans="2:19" ht="12.75" customHeight="1">
      <c r="B23" s="598">
        <f t="shared" si="1"/>
        <v>14</v>
      </c>
      <c r="C23" s="316"/>
      <c r="D23" s="316" t="s">
        <v>186</v>
      </c>
      <c r="E23" s="598"/>
      <c r="F23" s="426">
        <v>0.1100000000000001</v>
      </c>
      <c r="G23" s="427">
        <f>'Summary of Rates'!E24</f>
        <v>0.18000000000000016</v>
      </c>
      <c r="H23" s="355">
        <f t="shared" si="0"/>
        <v>7.0000000000000062E-2</v>
      </c>
      <c r="I23" s="466">
        <v>3682886</v>
      </c>
      <c r="J23" s="358"/>
      <c r="K23" s="270">
        <f>ROUND(H23*I23,2)</f>
        <v>257802.02</v>
      </c>
      <c r="L23" s="268"/>
      <c r="M23" s="316"/>
      <c r="N23" s="266"/>
      <c r="O23" s="316"/>
      <c r="P23" s="316"/>
      <c r="Q23" s="270"/>
      <c r="R23" s="270"/>
      <c r="S23" s="270"/>
    </row>
    <row r="24" spans="2:19" ht="12.75" customHeight="1">
      <c r="B24" s="598">
        <f t="shared" si="1"/>
        <v>15</v>
      </c>
      <c r="C24" s="316"/>
      <c r="D24" s="316" t="s">
        <v>187</v>
      </c>
      <c r="E24" s="598"/>
      <c r="F24" s="277"/>
      <c r="G24" s="308"/>
      <c r="H24" s="269"/>
      <c r="I24" s="466"/>
      <c r="J24" s="358"/>
      <c r="K24" s="270"/>
      <c r="L24" s="268"/>
      <c r="M24" s="316"/>
      <c r="N24" s="266"/>
      <c r="O24" s="316"/>
      <c r="P24" s="316"/>
      <c r="Q24" s="270"/>
      <c r="R24" s="270"/>
      <c r="S24" s="270"/>
    </row>
    <row r="25" spans="2:19" ht="12.75" customHeight="1">
      <c r="B25" s="598">
        <f t="shared" si="1"/>
        <v>16</v>
      </c>
      <c r="C25" s="316"/>
      <c r="D25" s="316" t="s">
        <v>301</v>
      </c>
      <c r="E25" s="598"/>
      <c r="F25" s="277">
        <v>1.3700000000000018E-2</v>
      </c>
      <c r="G25" s="308">
        <f>'Summary of Rates'!E27</f>
        <v>2.2260000000000002E-2</v>
      </c>
      <c r="H25" s="269">
        <f t="shared" si="0"/>
        <v>8.5599999999999843E-3</v>
      </c>
      <c r="I25" s="466">
        <v>32802787.789709222</v>
      </c>
      <c r="J25" s="358"/>
      <c r="K25" s="270">
        <f>ROUND(H25*I25,2)</f>
        <v>280791.86</v>
      </c>
      <c r="L25" s="268"/>
      <c r="M25" s="316"/>
      <c r="N25" s="266"/>
      <c r="O25" s="316"/>
      <c r="P25" s="316"/>
      <c r="Q25" s="270"/>
      <c r="R25" s="270"/>
      <c r="S25" s="270"/>
    </row>
    <row r="26" spans="2:19" ht="12.75" customHeight="1">
      <c r="B26" s="598">
        <f t="shared" si="1"/>
        <v>17</v>
      </c>
      <c r="C26" s="316"/>
      <c r="D26" s="316" t="s">
        <v>302</v>
      </c>
      <c r="E26" s="598"/>
      <c r="F26" s="277">
        <v>1.1029999999999998E-2</v>
      </c>
      <c r="G26" s="308">
        <f>'Summary of Rates'!E28</f>
        <v>1.7919999999999991E-2</v>
      </c>
      <c r="H26" s="269">
        <f t="shared" si="0"/>
        <v>6.8899999999999934E-3</v>
      </c>
      <c r="I26" s="467">
        <v>23991085.120635759</v>
      </c>
      <c r="J26" s="358"/>
      <c r="K26" s="272">
        <f>ROUND(H26*I26,2)</f>
        <v>165298.57999999999</v>
      </c>
      <c r="L26" s="268"/>
      <c r="M26" s="316"/>
      <c r="N26" s="266"/>
      <c r="O26" s="316"/>
      <c r="P26" s="316"/>
      <c r="Q26" s="270"/>
      <c r="R26" s="270"/>
      <c r="S26" s="270"/>
    </row>
    <row r="27" spans="2:19" ht="12.75" customHeight="1">
      <c r="B27" s="598">
        <f t="shared" si="1"/>
        <v>18</v>
      </c>
      <c r="C27" s="316"/>
      <c r="D27" s="316" t="s">
        <v>143</v>
      </c>
      <c r="E27" s="598"/>
      <c r="F27" s="277"/>
      <c r="G27" s="308"/>
      <c r="H27" s="269"/>
      <c r="I27" s="267">
        <f>SUM(I25:I26)</f>
        <v>56793872.910344981</v>
      </c>
      <c r="J27" s="358">
        <f>'Rate Impact Rev'!O18</f>
        <v>41153356.735245839</v>
      </c>
      <c r="K27" s="270">
        <f>SUM(K23:K26)</f>
        <v>703892.46</v>
      </c>
      <c r="L27" s="268">
        <f t="shared" ref="L27" si="2">K27/J27</f>
        <v>1.7104132344012427E-2</v>
      </c>
      <c r="M27" s="316"/>
      <c r="N27" s="266"/>
      <c r="O27" s="316"/>
      <c r="P27" s="316"/>
      <c r="Q27" s="270"/>
      <c r="R27" s="270"/>
      <c r="S27" s="270"/>
    </row>
    <row r="28" spans="2:19" ht="12.75" customHeight="1">
      <c r="B28" s="598">
        <f t="shared" si="1"/>
        <v>19</v>
      </c>
      <c r="C28" s="316"/>
      <c r="D28" s="316"/>
      <c r="E28" s="598"/>
      <c r="F28" s="277"/>
      <c r="G28" s="308"/>
      <c r="H28" s="269"/>
      <c r="I28" s="316"/>
      <c r="J28" s="358"/>
      <c r="K28" s="270"/>
      <c r="L28" s="268"/>
      <c r="M28" s="316"/>
      <c r="N28" s="316"/>
      <c r="O28" s="316"/>
      <c r="P28" s="316"/>
      <c r="Q28" s="270"/>
      <c r="R28" s="270"/>
      <c r="S28" s="270"/>
    </row>
    <row r="29" spans="2:19" ht="12.75" customHeight="1">
      <c r="B29" s="598">
        <f t="shared" si="1"/>
        <v>20</v>
      </c>
      <c r="C29" s="316" t="s">
        <v>303</v>
      </c>
      <c r="D29" s="316"/>
      <c r="E29" s="598" t="s">
        <v>242</v>
      </c>
      <c r="F29" s="277"/>
      <c r="G29" s="308"/>
      <c r="H29" s="269"/>
      <c r="I29" s="267"/>
      <c r="J29" s="358"/>
      <c r="K29" s="270"/>
      <c r="L29" s="268"/>
      <c r="M29" s="316"/>
      <c r="N29" s="316"/>
      <c r="O29" s="316"/>
      <c r="P29" s="316"/>
      <c r="Q29" s="270"/>
      <c r="R29" s="270"/>
      <c r="S29" s="270"/>
    </row>
    <row r="30" spans="2:19" ht="12.75" customHeight="1">
      <c r="B30" s="598">
        <f t="shared" si="1"/>
        <v>21</v>
      </c>
      <c r="C30" s="316"/>
      <c r="D30" s="316" t="s">
        <v>186</v>
      </c>
      <c r="E30" s="598"/>
      <c r="F30" s="426">
        <v>0.1100000000000001</v>
      </c>
      <c r="G30" s="427">
        <f>'Summary of Rates'!E31</f>
        <v>0.18000000000000016</v>
      </c>
      <c r="H30" s="355">
        <f t="shared" si="0"/>
        <v>7.0000000000000062E-2</v>
      </c>
      <c r="I30" s="466">
        <v>1714678</v>
      </c>
      <c r="J30" s="358"/>
      <c r="K30" s="270">
        <f>ROUND(H30*I30,2)</f>
        <v>120027.46</v>
      </c>
      <c r="L30" s="268"/>
      <c r="M30" s="316"/>
      <c r="N30" s="316"/>
      <c r="O30" s="316"/>
      <c r="P30" s="316"/>
      <c r="Q30" s="270"/>
      <c r="R30" s="270"/>
      <c r="S30" s="270"/>
    </row>
    <row r="31" spans="2:19" ht="12.75" customHeight="1">
      <c r="B31" s="598">
        <f t="shared" si="1"/>
        <v>22</v>
      </c>
      <c r="C31" s="316"/>
      <c r="D31" s="316" t="s">
        <v>184</v>
      </c>
      <c r="E31" s="598"/>
      <c r="F31" s="277">
        <v>-5.3000000000000009E-4</v>
      </c>
      <c r="G31" s="308">
        <f>'Summary of Rates'!E37</f>
        <v>-8.7000000000000011E-4</v>
      </c>
      <c r="H31" s="269">
        <f>G31-F31</f>
        <v>-3.4000000000000002E-4</v>
      </c>
      <c r="I31" s="468">
        <v>23136584</v>
      </c>
      <c r="J31" s="358"/>
      <c r="K31" s="270">
        <f>ROUND(H31*I31,2)</f>
        <v>-7866.44</v>
      </c>
      <c r="L31" s="268"/>
      <c r="M31" s="316"/>
      <c r="N31" s="316"/>
      <c r="O31" s="316"/>
      <c r="P31" s="316"/>
      <c r="Q31" s="270"/>
      <c r="R31" s="270"/>
      <c r="S31" s="270"/>
    </row>
    <row r="32" spans="2:19" ht="12.75" customHeight="1">
      <c r="B32" s="598">
        <f t="shared" si="1"/>
        <v>23</v>
      </c>
      <c r="C32" s="316"/>
      <c r="D32" s="316" t="s">
        <v>187</v>
      </c>
      <c r="E32" s="598"/>
      <c r="F32" s="277"/>
      <c r="G32" s="308"/>
      <c r="H32" s="269"/>
      <c r="I32" s="466"/>
      <c r="J32" s="358"/>
      <c r="K32" s="270"/>
      <c r="L32" s="268"/>
      <c r="M32" s="316"/>
      <c r="N32" s="316"/>
      <c r="O32" s="316"/>
      <c r="P32" s="316"/>
      <c r="Q32" s="270"/>
      <c r="R32" s="270"/>
      <c r="S32" s="270"/>
    </row>
    <row r="33" spans="2:19" ht="12.75" customHeight="1">
      <c r="B33" s="598">
        <f t="shared" si="1"/>
        <v>24</v>
      </c>
      <c r="C33" s="316"/>
      <c r="D33" s="316" t="s">
        <v>301</v>
      </c>
      <c r="E33" s="598"/>
      <c r="F33" s="277">
        <v>1.3700000000000018E-2</v>
      </c>
      <c r="G33" s="308">
        <f>'Summary of Rates'!E34</f>
        <v>2.2260000000000002E-2</v>
      </c>
      <c r="H33" s="269">
        <f t="shared" si="0"/>
        <v>8.5599999999999843E-3</v>
      </c>
      <c r="I33" s="466">
        <v>5355163.5948174866</v>
      </c>
      <c r="J33" s="358"/>
      <c r="K33" s="270">
        <f>ROUND(H33*I33,2)</f>
        <v>45840.2</v>
      </c>
      <c r="L33" s="268"/>
      <c r="M33" s="316"/>
      <c r="N33" s="316"/>
      <c r="O33" s="316"/>
      <c r="P33" s="316"/>
      <c r="Q33" s="270"/>
      <c r="R33" s="270"/>
      <c r="S33" s="270"/>
    </row>
    <row r="34" spans="2:19" ht="12.75" customHeight="1">
      <c r="B34" s="598">
        <f t="shared" si="1"/>
        <v>25</v>
      </c>
      <c r="C34" s="316"/>
      <c r="D34" s="316" t="s">
        <v>302</v>
      </c>
      <c r="E34" s="598"/>
      <c r="F34" s="277">
        <v>1.1029999999999998E-2</v>
      </c>
      <c r="G34" s="308">
        <f>'Summary of Rates'!E35</f>
        <v>1.7919999999999991E-2</v>
      </c>
      <c r="H34" s="269">
        <f t="shared" si="0"/>
        <v>6.8899999999999934E-3</v>
      </c>
      <c r="I34" s="467">
        <v>16354492.827050379</v>
      </c>
      <c r="J34" s="358"/>
      <c r="K34" s="272">
        <f>ROUND(H34*I34,2)</f>
        <v>112682.46</v>
      </c>
      <c r="L34" s="268"/>
      <c r="M34" s="316"/>
      <c r="N34" s="316"/>
      <c r="O34" s="316"/>
      <c r="P34" s="316"/>
      <c r="Q34" s="270"/>
      <c r="R34" s="270"/>
      <c r="S34" s="270"/>
    </row>
    <row r="35" spans="2:19" ht="12.75" customHeight="1">
      <c r="B35" s="598">
        <f t="shared" si="1"/>
        <v>26</v>
      </c>
      <c r="C35" s="316"/>
      <c r="D35" s="316" t="s">
        <v>143</v>
      </c>
      <c r="E35" s="598"/>
      <c r="F35" s="277"/>
      <c r="G35" s="308"/>
      <c r="H35" s="297"/>
      <c r="I35" s="267">
        <f>SUM(I33:I34)</f>
        <v>21709656.421867866</v>
      </c>
      <c r="J35" s="358">
        <f>'Rate Impact Rev'!O19</f>
        <v>5198949.3903032374</v>
      </c>
      <c r="K35" s="270">
        <f>SUM(K30:K34)</f>
        <v>270683.68</v>
      </c>
      <c r="L35" s="268">
        <f>K35/J35</f>
        <v>5.2065073090509909E-2</v>
      </c>
      <c r="M35" s="316"/>
      <c r="N35" s="316"/>
      <c r="O35" s="316"/>
      <c r="P35" s="316"/>
      <c r="Q35" s="270"/>
      <c r="R35" s="270"/>
      <c r="S35" s="270"/>
    </row>
    <row r="36" spans="2:19" ht="12.75" customHeight="1">
      <c r="B36" s="598">
        <f t="shared" si="1"/>
        <v>27</v>
      </c>
      <c r="C36" s="316"/>
      <c r="D36" s="316"/>
      <c r="E36" s="598"/>
      <c r="F36" s="277"/>
      <c r="G36" s="308"/>
      <c r="H36" s="297"/>
      <c r="I36" s="267"/>
      <c r="J36" s="270"/>
      <c r="K36" s="270"/>
      <c r="L36" s="268"/>
      <c r="M36" s="316"/>
      <c r="N36" s="316"/>
      <c r="O36" s="316"/>
      <c r="P36" s="316"/>
      <c r="Q36" s="270"/>
      <c r="R36" s="270"/>
      <c r="S36" s="270"/>
    </row>
    <row r="37" spans="2:19" ht="12.75" customHeight="1">
      <c r="B37" s="598">
        <f t="shared" si="1"/>
        <v>28</v>
      </c>
      <c r="C37" s="316"/>
      <c r="D37" s="316" t="s">
        <v>304</v>
      </c>
      <c r="E37" s="598" t="s">
        <v>305</v>
      </c>
      <c r="F37" s="277"/>
      <c r="G37" s="308"/>
      <c r="H37" s="297"/>
      <c r="I37" s="267">
        <f>I27+I35</f>
        <v>78503529.33221285</v>
      </c>
      <c r="J37" s="270">
        <f t="shared" ref="J37:K37" si="3">J27+J35</f>
        <v>46352306.125549078</v>
      </c>
      <c r="K37" s="270">
        <f t="shared" si="3"/>
        <v>974576.1399999999</v>
      </c>
      <c r="L37" s="268">
        <f>K37/J37</f>
        <v>2.1025407826749318E-2</v>
      </c>
      <c r="M37" s="316"/>
      <c r="N37" s="316"/>
      <c r="O37" s="316"/>
      <c r="P37" s="316"/>
      <c r="Q37" s="270"/>
      <c r="R37" s="270"/>
      <c r="S37" s="270"/>
    </row>
    <row r="38" spans="2:19" ht="12.75" customHeight="1">
      <c r="B38" s="598">
        <f t="shared" si="1"/>
        <v>29</v>
      </c>
      <c r="C38" s="316"/>
      <c r="D38" s="316"/>
      <c r="E38" s="598"/>
      <c r="F38" s="277"/>
      <c r="G38" s="308"/>
      <c r="H38" s="297"/>
      <c r="I38" s="316"/>
      <c r="J38" s="270"/>
      <c r="K38" s="270"/>
      <c r="L38" s="268"/>
      <c r="M38" s="316"/>
      <c r="N38" s="316"/>
      <c r="O38" s="316"/>
      <c r="P38" s="316"/>
      <c r="Q38" s="270"/>
      <c r="R38" s="270"/>
      <c r="S38" s="270"/>
    </row>
    <row r="39" spans="2:19" s="316" customFormat="1" ht="12.75" customHeight="1">
      <c r="B39" s="598">
        <f t="shared" si="1"/>
        <v>30</v>
      </c>
      <c r="C39" s="316" t="s">
        <v>306</v>
      </c>
      <c r="E39" s="598">
        <v>85</v>
      </c>
      <c r="F39" s="277"/>
      <c r="G39" s="308"/>
      <c r="H39" s="297"/>
      <c r="J39" s="270"/>
      <c r="K39" s="270"/>
      <c r="L39" s="268"/>
      <c r="Q39" s="270"/>
      <c r="R39" s="270"/>
      <c r="S39" s="270"/>
    </row>
    <row r="40" spans="2:19" s="316" customFormat="1" ht="12.75" customHeight="1">
      <c r="B40" s="598">
        <f t="shared" si="1"/>
        <v>31</v>
      </c>
      <c r="D40" s="316" t="s">
        <v>307</v>
      </c>
      <c r="E40" s="598"/>
      <c r="F40" s="427">
        <f>'Rate Plan Rates'!G11</f>
        <v>51.01</v>
      </c>
      <c r="G40" s="427">
        <f>'Summary of Rates'!E40</f>
        <v>51.01</v>
      </c>
      <c r="H40" s="297"/>
      <c r="J40" s="270"/>
      <c r="K40" s="270"/>
      <c r="L40" s="268"/>
      <c r="Q40" s="270"/>
      <c r="R40" s="270"/>
      <c r="S40" s="270"/>
    </row>
    <row r="41" spans="2:19" s="316" customFormat="1" ht="12.75" customHeight="1">
      <c r="B41" s="598">
        <f t="shared" si="1"/>
        <v>32</v>
      </c>
      <c r="D41" s="316" t="s">
        <v>186</v>
      </c>
      <c r="E41" s="598"/>
      <c r="F41" s="426">
        <v>0</v>
      </c>
      <c r="G41" s="426">
        <v>0</v>
      </c>
      <c r="H41" s="269">
        <f t="shared" ref="H41:H46" si="4">G41-F41</f>
        <v>0</v>
      </c>
      <c r="I41" s="466">
        <v>68772</v>
      </c>
      <c r="J41" s="270"/>
      <c r="K41" s="270">
        <f>ROUND(H41*I41,2)</f>
        <v>0</v>
      </c>
      <c r="L41" s="268"/>
      <c r="Q41" s="270"/>
      <c r="R41" s="270"/>
      <c r="S41" s="270"/>
    </row>
    <row r="42" spans="2:19" s="316" customFormat="1" ht="12.75" customHeight="1">
      <c r="B42" s="598">
        <f t="shared" si="1"/>
        <v>33</v>
      </c>
      <c r="D42" s="316" t="s">
        <v>192</v>
      </c>
      <c r="E42" s="598"/>
      <c r="F42" s="308">
        <f>'Rate Plan Rates'!G13</f>
        <v>6.2E-4</v>
      </c>
      <c r="G42" s="308">
        <f>'Summary of Rates'!E41</f>
        <v>6.2E-4</v>
      </c>
      <c r="H42" s="269">
        <f t="shared" si="4"/>
        <v>0</v>
      </c>
      <c r="I42" s="466">
        <v>19100696</v>
      </c>
      <c r="J42" s="270"/>
      <c r="K42" s="270">
        <f>ROUND(H42*I42,2)</f>
        <v>0</v>
      </c>
      <c r="L42" s="268"/>
      <c r="Q42" s="270"/>
      <c r="R42" s="270"/>
      <c r="S42" s="270"/>
    </row>
    <row r="43" spans="2:19" s="316" customFormat="1" ht="12.75" customHeight="1">
      <c r="B43" s="598">
        <f t="shared" si="1"/>
        <v>34</v>
      </c>
      <c r="D43" s="316" t="s">
        <v>187</v>
      </c>
      <c r="E43" s="598"/>
      <c r="F43" s="277"/>
      <c r="G43" s="308"/>
      <c r="H43" s="269"/>
      <c r="I43" s="466"/>
      <c r="J43" s="270"/>
      <c r="K43" s="270"/>
      <c r="L43" s="268"/>
      <c r="Q43" s="270"/>
      <c r="R43" s="270"/>
      <c r="S43" s="270"/>
    </row>
    <row r="44" spans="2:19" s="316" customFormat="1" ht="12.75" customHeight="1">
      <c r="B44" s="598">
        <f t="shared" si="1"/>
        <v>35</v>
      </c>
      <c r="D44" s="316" t="s">
        <v>308</v>
      </c>
      <c r="E44" s="598"/>
      <c r="F44" s="308">
        <f>'Rate Plan Rates'!G16</f>
        <v>9.2399999999999999E-3</v>
      </c>
      <c r="G44" s="308">
        <f>'Summary of Rates'!E44</f>
        <v>9.2399999999999999E-3</v>
      </c>
      <c r="H44" s="269">
        <f t="shared" si="4"/>
        <v>0</v>
      </c>
      <c r="I44" s="466">
        <v>9874251.9437413048</v>
      </c>
      <c r="J44" s="270"/>
      <c r="K44" s="270">
        <f t="shared" ref="K44:K46" si="5">ROUND(H44*I44,2)</f>
        <v>0</v>
      </c>
      <c r="L44" s="268"/>
      <c r="Q44" s="270"/>
      <c r="R44" s="270"/>
      <c r="S44" s="270"/>
    </row>
    <row r="45" spans="2:19" s="316" customFormat="1" ht="12.75" customHeight="1">
      <c r="B45" s="598">
        <f t="shared" si="1"/>
        <v>36</v>
      </c>
      <c r="D45" s="316" t="s">
        <v>309</v>
      </c>
      <c r="E45" s="598"/>
      <c r="F45" s="308">
        <f>'Rate Plan Rates'!G17</f>
        <v>4.5799999999999999E-3</v>
      </c>
      <c r="G45" s="308">
        <f>'Summary of Rates'!E45</f>
        <v>4.5799999999999999E-3</v>
      </c>
      <c r="H45" s="269">
        <f t="shared" si="4"/>
        <v>0</v>
      </c>
      <c r="I45" s="466">
        <v>4897094.9857685557</v>
      </c>
      <c r="J45" s="270"/>
      <c r="K45" s="270">
        <f t="shared" si="5"/>
        <v>0</v>
      </c>
      <c r="L45" s="268"/>
      <c r="Q45" s="270"/>
      <c r="R45" s="270"/>
      <c r="S45" s="270"/>
    </row>
    <row r="46" spans="2:19" s="316" customFormat="1" ht="12.75" customHeight="1">
      <c r="B46" s="598">
        <f t="shared" si="1"/>
        <v>37</v>
      </c>
      <c r="D46" s="316" t="s">
        <v>310</v>
      </c>
      <c r="E46" s="598"/>
      <c r="F46" s="308">
        <f>'Rate Plan Rates'!G18</f>
        <v>4.3800000000000002E-3</v>
      </c>
      <c r="G46" s="308">
        <f>'Summary of Rates'!E46</f>
        <v>4.3800000000000002E-3</v>
      </c>
      <c r="H46" s="269">
        <f t="shared" si="4"/>
        <v>0</v>
      </c>
      <c r="I46" s="467">
        <v>4329349.0704901405</v>
      </c>
      <c r="J46" s="270"/>
      <c r="K46" s="272">
        <f t="shared" si="5"/>
        <v>0</v>
      </c>
      <c r="L46" s="268"/>
      <c r="Q46" s="270"/>
      <c r="R46" s="270"/>
      <c r="S46" s="270"/>
    </row>
    <row r="47" spans="2:19" s="316" customFormat="1" ht="12.75" customHeight="1">
      <c r="B47" s="598">
        <f t="shared" si="1"/>
        <v>38</v>
      </c>
      <c r="D47" s="316" t="s">
        <v>143</v>
      </c>
      <c r="E47" s="598"/>
      <c r="F47" s="277"/>
      <c r="H47" s="297"/>
      <c r="I47" s="267">
        <f>SUM(I44:I46)</f>
        <v>19100696</v>
      </c>
      <c r="J47" s="358">
        <f>'Rate Impact Rev'!O21</f>
        <v>8788393.9017745443</v>
      </c>
      <c r="K47" s="270">
        <f>SUM(K41:K46)</f>
        <v>0</v>
      </c>
      <c r="L47" s="268">
        <f>K47/J47</f>
        <v>0</v>
      </c>
      <c r="Q47" s="270"/>
      <c r="R47" s="270"/>
      <c r="S47" s="270"/>
    </row>
    <row r="48" spans="2:19" s="316" customFormat="1" ht="12.75" customHeight="1">
      <c r="B48" s="598">
        <f t="shared" si="1"/>
        <v>39</v>
      </c>
      <c r="E48" s="598"/>
      <c r="F48" s="277"/>
      <c r="G48" s="308"/>
      <c r="H48" s="297"/>
      <c r="J48" s="270"/>
      <c r="K48" s="270"/>
      <c r="L48" s="268"/>
      <c r="Q48" s="270"/>
      <c r="R48" s="270"/>
      <c r="S48" s="270"/>
    </row>
    <row r="49" spans="2:19" s="316" customFormat="1" ht="12.75" customHeight="1">
      <c r="B49" s="598">
        <f t="shared" si="1"/>
        <v>40</v>
      </c>
      <c r="C49" s="316" t="s">
        <v>311</v>
      </c>
      <c r="E49" s="598" t="s">
        <v>243</v>
      </c>
      <c r="F49" s="277"/>
      <c r="G49" s="308"/>
      <c r="H49" s="297"/>
      <c r="J49" s="270"/>
      <c r="K49" s="270"/>
      <c r="L49" s="268"/>
      <c r="Q49" s="270"/>
      <c r="R49" s="270"/>
      <c r="S49" s="270"/>
    </row>
    <row r="50" spans="2:19" s="316" customFormat="1" ht="12.75" customHeight="1">
      <c r="B50" s="598">
        <f t="shared" si="1"/>
        <v>41</v>
      </c>
      <c r="D50" s="316" t="s">
        <v>307</v>
      </c>
      <c r="E50" s="598"/>
      <c r="F50" s="427">
        <f>'Rate Plan Rates'!G21</f>
        <v>81.62</v>
      </c>
      <c r="G50" s="427">
        <f>'Summary of Rates'!E49</f>
        <v>81.62</v>
      </c>
      <c r="H50" s="297"/>
      <c r="J50" s="270"/>
      <c r="K50" s="270"/>
      <c r="L50" s="268"/>
      <c r="Q50" s="270"/>
      <c r="R50" s="270"/>
      <c r="S50" s="270"/>
    </row>
    <row r="51" spans="2:19" s="316" customFormat="1" ht="12.75" customHeight="1">
      <c r="B51" s="598">
        <f t="shared" si="1"/>
        <v>42</v>
      </c>
      <c r="D51" s="316" t="s">
        <v>186</v>
      </c>
      <c r="E51" s="598"/>
      <c r="F51" s="426">
        <v>0</v>
      </c>
      <c r="G51" s="426">
        <v>0</v>
      </c>
      <c r="H51" s="269">
        <f t="shared" ref="H51:H55" si="6">G51-F51</f>
        <v>0</v>
      </c>
      <c r="I51" s="466">
        <v>1347828</v>
      </c>
      <c r="J51" s="270"/>
      <c r="K51" s="270">
        <f>ROUND(H51*I51,2)</f>
        <v>0</v>
      </c>
      <c r="L51" s="268"/>
      <c r="Q51" s="270"/>
      <c r="R51" s="270"/>
      <c r="S51" s="270"/>
    </row>
    <row r="52" spans="2:19" s="316" customFormat="1" ht="12.75" customHeight="1">
      <c r="B52" s="598">
        <f t="shared" si="1"/>
        <v>43</v>
      </c>
      <c r="D52" s="316" t="s">
        <v>187</v>
      </c>
      <c r="E52" s="598"/>
      <c r="F52" s="277"/>
      <c r="G52" s="308"/>
      <c r="H52" s="269"/>
      <c r="I52" s="462"/>
      <c r="J52" s="270"/>
      <c r="K52" s="270"/>
      <c r="L52" s="268"/>
      <c r="Q52" s="270"/>
      <c r="R52" s="270"/>
      <c r="S52" s="270"/>
    </row>
    <row r="53" spans="2:19" s="316" customFormat="1" ht="12.75" customHeight="1">
      <c r="B53" s="598">
        <f t="shared" si="1"/>
        <v>44</v>
      </c>
      <c r="D53" s="316" t="s">
        <v>308</v>
      </c>
      <c r="E53" s="598"/>
      <c r="F53" s="308">
        <f>'Rate Plan Rates'!G25</f>
        <v>9.2399999999999999E-3</v>
      </c>
      <c r="G53" s="308">
        <f>'Summary of Rates'!E52</f>
        <v>9.2399999999999999E-3</v>
      </c>
      <c r="H53" s="269">
        <f t="shared" si="6"/>
        <v>0</v>
      </c>
      <c r="I53" s="466">
        <v>32743237.672463395</v>
      </c>
      <c r="J53" s="270"/>
      <c r="K53" s="270">
        <f t="shared" ref="K53:K55" si="7">ROUND(H53*I53,2)</f>
        <v>0</v>
      </c>
      <c r="L53" s="268"/>
      <c r="Q53" s="270"/>
      <c r="R53" s="270"/>
      <c r="S53" s="270"/>
    </row>
    <row r="54" spans="2:19" s="316" customFormat="1" ht="12.75" customHeight="1">
      <c r="B54" s="598">
        <f t="shared" si="1"/>
        <v>45</v>
      </c>
      <c r="D54" s="316" t="s">
        <v>309</v>
      </c>
      <c r="E54" s="598"/>
      <c r="F54" s="308">
        <f>'Rate Plan Rates'!G26</f>
        <v>4.5799999999999999E-3</v>
      </c>
      <c r="G54" s="308">
        <f>'Summary of Rates'!E53</f>
        <v>4.5799999999999999E-3</v>
      </c>
      <c r="H54" s="269">
        <f t="shared" si="6"/>
        <v>0</v>
      </c>
      <c r="I54" s="466">
        <v>21044923.209942862</v>
      </c>
      <c r="J54" s="270"/>
      <c r="K54" s="270">
        <f t="shared" si="7"/>
        <v>0</v>
      </c>
      <c r="L54" s="268"/>
      <c r="Q54" s="270"/>
      <c r="R54" s="270"/>
      <c r="S54" s="270"/>
    </row>
    <row r="55" spans="2:19" s="316" customFormat="1" ht="12.75" customHeight="1">
      <c r="B55" s="598">
        <f t="shared" si="1"/>
        <v>46</v>
      </c>
      <c r="D55" s="316" t="s">
        <v>310</v>
      </c>
      <c r="E55" s="598"/>
      <c r="F55" s="308">
        <f>'Rate Plan Rates'!G27</f>
        <v>4.3800000000000002E-3</v>
      </c>
      <c r="G55" s="308">
        <f>'Summary of Rates'!E54</f>
        <v>4.3800000000000002E-3</v>
      </c>
      <c r="H55" s="269">
        <f t="shared" si="6"/>
        <v>0</v>
      </c>
      <c r="I55" s="467">
        <v>33543923.117593743</v>
      </c>
      <c r="J55" s="270"/>
      <c r="K55" s="272">
        <f t="shared" si="7"/>
        <v>0</v>
      </c>
      <c r="L55" s="268"/>
      <c r="Q55" s="270"/>
      <c r="R55" s="270"/>
      <c r="S55" s="270"/>
    </row>
    <row r="56" spans="2:19" s="316" customFormat="1" ht="12.75" customHeight="1">
      <c r="B56" s="598">
        <f t="shared" si="1"/>
        <v>47</v>
      </c>
      <c r="D56" s="316" t="s">
        <v>143</v>
      </c>
      <c r="E56" s="598"/>
      <c r="F56" s="277"/>
      <c r="G56" s="308"/>
      <c r="H56" s="297"/>
      <c r="I56" s="267">
        <f>SUM(I53:I55)</f>
        <v>87332084</v>
      </c>
      <c r="J56" s="358">
        <f>'Rate Impact Rev'!O22</f>
        <v>9371980.5137247033</v>
      </c>
      <c r="K56" s="270">
        <f>SUM(K51:K55)</f>
        <v>0</v>
      </c>
      <c r="L56" s="268">
        <f>K56/J56</f>
        <v>0</v>
      </c>
      <c r="Q56" s="270"/>
      <c r="R56" s="270"/>
      <c r="S56" s="270"/>
    </row>
    <row r="57" spans="2:19" s="316" customFormat="1" ht="12.75" customHeight="1">
      <c r="B57" s="598">
        <f t="shared" si="1"/>
        <v>48</v>
      </c>
      <c r="E57" s="598"/>
      <c r="F57" s="277"/>
      <c r="G57" s="308"/>
      <c r="H57" s="297"/>
      <c r="J57" s="270"/>
      <c r="K57" s="270"/>
      <c r="L57" s="268"/>
      <c r="Q57" s="270"/>
      <c r="R57" s="270"/>
      <c r="S57" s="270"/>
    </row>
    <row r="58" spans="2:19" s="316" customFormat="1" ht="12.75" customHeight="1">
      <c r="B58" s="598">
        <f t="shared" si="1"/>
        <v>49</v>
      </c>
      <c r="D58" s="316" t="s">
        <v>312</v>
      </c>
      <c r="E58" s="598" t="s">
        <v>313</v>
      </c>
      <c r="F58" s="277"/>
      <c r="G58" s="308"/>
      <c r="H58" s="297"/>
      <c r="I58" s="267">
        <f>I47+I56</f>
        <v>106432780</v>
      </c>
      <c r="J58" s="270">
        <f>J47+J56</f>
        <v>18160374.415499248</v>
      </c>
      <c r="K58" s="270">
        <f>K47+K56</f>
        <v>0</v>
      </c>
      <c r="L58" s="268">
        <f>K58/J58</f>
        <v>0</v>
      </c>
      <c r="Q58" s="270"/>
      <c r="R58" s="270"/>
      <c r="S58" s="270"/>
    </row>
    <row r="59" spans="2:19" s="316" customFormat="1" ht="12.75" customHeight="1">
      <c r="B59" s="598">
        <f t="shared" si="1"/>
        <v>50</v>
      </c>
      <c r="E59" s="598"/>
      <c r="F59" s="277"/>
      <c r="G59" s="308"/>
      <c r="H59" s="297"/>
      <c r="J59" s="270"/>
      <c r="K59" s="270"/>
      <c r="L59" s="268"/>
      <c r="Q59" s="270"/>
      <c r="R59" s="270"/>
      <c r="S59" s="270"/>
    </row>
    <row r="60" spans="2:19" ht="12.75" customHeight="1">
      <c r="B60" s="598">
        <f t="shared" si="1"/>
        <v>51</v>
      </c>
      <c r="C60" s="316" t="s">
        <v>314</v>
      </c>
      <c r="D60" s="316"/>
      <c r="E60" s="598">
        <v>86</v>
      </c>
      <c r="F60" s="277"/>
      <c r="G60" s="308"/>
      <c r="H60" s="297"/>
      <c r="I60" s="316"/>
      <c r="J60" s="270"/>
      <c r="K60" s="274"/>
      <c r="L60" s="275"/>
      <c r="M60" s="316"/>
      <c r="N60" s="316"/>
      <c r="O60" s="316"/>
      <c r="P60" s="316"/>
      <c r="Q60" s="270"/>
      <c r="R60" s="270"/>
      <c r="S60" s="270"/>
    </row>
    <row r="61" spans="2:19" ht="12.75" customHeight="1">
      <c r="B61" s="598">
        <f t="shared" si="1"/>
        <v>52</v>
      </c>
      <c r="C61" s="316"/>
      <c r="D61" s="316" t="s">
        <v>186</v>
      </c>
      <c r="E61" s="598"/>
      <c r="F61" s="426">
        <v>0.1100000000000001</v>
      </c>
      <c r="G61" s="427">
        <f>'Summary of Rates'!E57</f>
        <v>0.18000000000000016</v>
      </c>
      <c r="H61" s="355">
        <f t="shared" ref="H61:H65" si="8">G61-F61</f>
        <v>7.0000000000000062E-2</v>
      </c>
      <c r="I61" s="466">
        <v>81149</v>
      </c>
      <c r="J61" s="270"/>
      <c r="K61" s="270">
        <f>ROUND(H61*I61,2)</f>
        <v>5680.43</v>
      </c>
      <c r="L61" s="275"/>
      <c r="M61" s="316"/>
      <c r="N61" s="316"/>
      <c r="O61" s="316"/>
      <c r="P61" s="316"/>
      <c r="Q61" s="270"/>
      <c r="R61" s="270"/>
      <c r="S61" s="270"/>
    </row>
    <row r="62" spans="2:19" ht="12.75" customHeight="1">
      <c r="B62" s="598">
        <f t="shared" si="1"/>
        <v>53</v>
      </c>
      <c r="C62" s="316"/>
      <c r="D62" s="316" t="s">
        <v>192</v>
      </c>
      <c r="E62" s="598"/>
      <c r="F62" s="277">
        <v>6.7000000000000046E-4</v>
      </c>
      <c r="G62" s="308">
        <f>'Summary of Rates'!E58</f>
        <v>1.1000000000000003E-3</v>
      </c>
      <c r="H62" s="269">
        <f t="shared" si="8"/>
        <v>4.2999999999999983E-4</v>
      </c>
      <c r="I62" s="466">
        <v>9746828</v>
      </c>
      <c r="J62" s="270"/>
      <c r="K62" s="270">
        <f>ROUND(H62*I62,2)</f>
        <v>4191.1400000000003</v>
      </c>
      <c r="L62" s="275"/>
      <c r="M62" s="316"/>
      <c r="N62" s="316"/>
      <c r="O62" s="316"/>
      <c r="P62" s="316"/>
      <c r="Q62" s="270"/>
      <c r="R62" s="270"/>
      <c r="S62" s="270"/>
    </row>
    <row r="63" spans="2:19" ht="12.75" customHeight="1">
      <c r="B63" s="598">
        <f t="shared" si="1"/>
        <v>54</v>
      </c>
      <c r="C63" s="316"/>
      <c r="D63" s="316" t="s">
        <v>187</v>
      </c>
      <c r="E63" s="598"/>
      <c r="F63" s="277"/>
      <c r="G63" s="308"/>
      <c r="H63" s="269"/>
      <c r="I63" s="462"/>
      <c r="J63" s="270"/>
      <c r="K63" s="274"/>
      <c r="L63" s="275"/>
      <c r="M63" s="316"/>
      <c r="N63" s="316"/>
      <c r="O63" s="316"/>
      <c r="P63" s="316"/>
      <c r="Q63" s="270"/>
      <c r="R63" s="270"/>
      <c r="S63" s="270"/>
    </row>
    <row r="64" spans="2:19" ht="12.75" customHeight="1">
      <c r="B64" s="598">
        <f t="shared" si="1"/>
        <v>55</v>
      </c>
      <c r="C64" s="316"/>
      <c r="D64" s="316" t="s">
        <v>193</v>
      </c>
      <c r="E64" s="598"/>
      <c r="F64" s="277">
        <v>1.9719999999999988E-2</v>
      </c>
      <c r="G64" s="308">
        <f>'Summary of Rates'!E61</f>
        <v>3.2030000000000003E-2</v>
      </c>
      <c r="H64" s="269">
        <f t="shared" si="8"/>
        <v>1.2310000000000015E-2</v>
      </c>
      <c r="I64" s="466">
        <v>2712652.6754525411</v>
      </c>
      <c r="J64" s="270"/>
      <c r="K64" s="270">
        <f>ROUND(H64*I64,2)</f>
        <v>33392.75</v>
      </c>
      <c r="L64" s="268"/>
      <c r="M64" s="316"/>
      <c r="N64" s="316"/>
      <c r="O64" s="316"/>
      <c r="P64" s="316"/>
      <c r="Q64" s="270"/>
      <c r="R64" s="270"/>
      <c r="S64" s="270"/>
    </row>
    <row r="65" spans="2:19" ht="12.75" customHeight="1">
      <c r="B65" s="598">
        <f t="shared" si="1"/>
        <v>56</v>
      </c>
      <c r="C65" s="316"/>
      <c r="D65" s="316" t="s">
        <v>315</v>
      </c>
      <c r="E65" s="598"/>
      <c r="F65" s="277">
        <v>1.3979999999999992E-2</v>
      </c>
      <c r="G65" s="308">
        <f>'Summary of Rates'!E62</f>
        <v>2.2710000000000008E-2</v>
      </c>
      <c r="H65" s="269">
        <f t="shared" si="8"/>
        <v>8.7300000000000155E-3</v>
      </c>
      <c r="I65" s="467">
        <v>7034175.3245474584</v>
      </c>
      <c r="J65" s="270"/>
      <c r="K65" s="272">
        <f>ROUND(H65*I65,2)</f>
        <v>61408.35</v>
      </c>
      <c r="L65" s="268"/>
      <c r="M65" s="316"/>
      <c r="N65" s="316"/>
      <c r="O65" s="316"/>
      <c r="P65" s="316"/>
      <c r="Q65" s="270"/>
      <c r="R65" s="270"/>
      <c r="S65" s="270"/>
    </row>
    <row r="66" spans="2:19" ht="12.75" customHeight="1">
      <c r="B66" s="598">
        <f t="shared" si="1"/>
        <v>57</v>
      </c>
      <c r="C66" s="316"/>
      <c r="D66" s="316" t="s">
        <v>143</v>
      </c>
      <c r="E66" s="598"/>
      <c r="F66" s="277"/>
      <c r="G66" s="308"/>
      <c r="H66" s="297"/>
      <c r="I66" s="267">
        <f>SUM(I64:I65)</f>
        <v>9746828</v>
      </c>
      <c r="J66" s="358">
        <f>'Rate Impact Rev'!O24</f>
        <v>5790449.1895529591</v>
      </c>
      <c r="K66" s="270">
        <f>SUM(K61:K65)</f>
        <v>104672.67</v>
      </c>
      <c r="L66" s="268">
        <f>K66/J66</f>
        <v>1.8076778946415566E-2</v>
      </c>
      <c r="M66" s="316"/>
      <c r="N66" s="316"/>
      <c r="O66" s="316"/>
      <c r="P66" s="316"/>
      <c r="Q66" s="270"/>
      <c r="R66" s="270"/>
      <c r="S66" s="270"/>
    </row>
    <row r="67" spans="2:19" ht="12.75" customHeight="1">
      <c r="B67" s="598">
        <f t="shared" si="1"/>
        <v>58</v>
      </c>
      <c r="C67" s="316"/>
      <c r="D67" s="316"/>
      <c r="E67" s="598"/>
      <c r="F67" s="277"/>
      <c r="G67" s="308"/>
      <c r="H67" s="297"/>
      <c r="I67" s="267"/>
      <c r="J67" s="270"/>
      <c r="K67" s="270"/>
      <c r="L67" s="268"/>
      <c r="M67" s="316"/>
      <c r="N67" s="316"/>
      <c r="O67" s="316"/>
      <c r="P67" s="316"/>
      <c r="Q67" s="270"/>
      <c r="R67" s="270"/>
      <c r="S67" s="270"/>
    </row>
    <row r="68" spans="2:19" ht="12.75" customHeight="1">
      <c r="B68" s="598">
        <f t="shared" si="1"/>
        <v>59</v>
      </c>
      <c r="C68" s="316" t="s">
        <v>316</v>
      </c>
      <c r="D68" s="316"/>
      <c r="E68" s="598" t="s">
        <v>244</v>
      </c>
      <c r="F68" s="277"/>
      <c r="G68" s="308"/>
      <c r="H68" s="297"/>
      <c r="I68" s="316"/>
      <c r="J68" s="270"/>
      <c r="K68" s="274"/>
      <c r="L68" s="275"/>
      <c r="M68" s="316"/>
      <c r="N68" s="316"/>
      <c r="O68" s="316"/>
      <c r="P68" s="316"/>
      <c r="Q68" s="270"/>
      <c r="R68" s="270"/>
      <c r="S68" s="270"/>
    </row>
    <row r="69" spans="2:19" ht="12.75" customHeight="1">
      <c r="B69" s="598">
        <f t="shared" si="1"/>
        <v>60</v>
      </c>
      <c r="C69" s="316"/>
      <c r="D69" s="316" t="s">
        <v>186</v>
      </c>
      <c r="E69" s="598"/>
      <c r="F69" s="426">
        <v>0.1100000000000001</v>
      </c>
      <c r="G69" s="427">
        <f>'Summary of Rates'!E65</f>
        <v>0.18000000000000016</v>
      </c>
      <c r="H69" s="355">
        <f t="shared" ref="H69:H72" si="9">G69-F69</f>
        <v>7.0000000000000062E-2</v>
      </c>
      <c r="I69" s="466">
        <v>18000</v>
      </c>
      <c r="J69" s="270"/>
      <c r="K69" s="270">
        <f>ROUND(H69*I69,2)</f>
        <v>1260</v>
      </c>
      <c r="L69" s="275"/>
      <c r="M69" s="316"/>
      <c r="N69" s="316"/>
      <c r="O69" s="316"/>
      <c r="P69" s="316"/>
      <c r="Q69" s="270"/>
      <c r="R69" s="270"/>
      <c r="S69" s="270"/>
    </row>
    <row r="70" spans="2:19" ht="12.75" customHeight="1">
      <c r="B70" s="598">
        <f t="shared" si="1"/>
        <v>61</v>
      </c>
      <c r="C70" s="316"/>
      <c r="D70" s="316" t="s">
        <v>187</v>
      </c>
      <c r="E70" s="598"/>
      <c r="F70" s="277"/>
      <c r="G70" s="308"/>
      <c r="H70" s="269"/>
      <c r="I70" s="462"/>
      <c r="J70" s="270"/>
      <c r="K70" s="274"/>
      <c r="L70" s="275"/>
      <c r="M70" s="316"/>
      <c r="N70" s="316"/>
      <c r="O70" s="316"/>
      <c r="P70" s="316"/>
      <c r="Q70" s="270"/>
      <c r="R70" s="270"/>
      <c r="S70" s="270"/>
    </row>
    <row r="71" spans="2:19" ht="12.75" customHeight="1">
      <c r="B71" s="598">
        <f t="shared" si="1"/>
        <v>62</v>
      </c>
      <c r="C71" s="316"/>
      <c r="D71" s="316" t="s">
        <v>193</v>
      </c>
      <c r="E71" s="598"/>
      <c r="F71" s="277">
        <v>1.9719999999999988E-2</v>
      </c>
      <c r="G71" s="308">
        <f>'Summary of Rates'!E68</f>
        <v>3.2030000000000003E-2</v>
      </c>
      <c r="H71" s="269">
        <f t="shared" si="9"/>
        <v>1.2310000000000015E-2</v>
      </c>
      <c r="I71" s="466">
        <v>20079.323032941302</v>
      </c>
      <c r="J71" s="270"/>
      <c r="K71" s="270">
        <f>ROUND(H71*I71,2)</f>
        <v>247.18</v>
      </c>
      <c r="L71" s="268"/>
      <c r="M71" s="316"/>
      <c r="N71" s="316"/>
      <c r="O71" s="316"/>
      <c r="P71" s="316"/>
      <c r="Q71" s="270"/>
      <c r="R71" s="270"/>
      <c r="S71" s="270"/>
    </row>
    <row r="72" spans="2:19" ht="12.75" customHeight="1">
      <c r="B72" s="598">
        <f t="shared" si="1"/>
        <v>63</v>
      </c>
      <c r="C72" s="316"/>
      <c r="D72" s="316" t="s">
        <v>315</v>
      </c>
      <c r="E72" s="598"/>
      <c r="F72" s="277">
        <v>1.3979999999999992E-2</v>
      </c>
      <c r="G72" s="308">
        <f>'Summary of Rates'!E69</f>
        <v>2.2710000000000008E-2</v>
      </c>
      <c r="H72" s="269">
        <f t="shared" si="9"/>
        <v>8.7300000000000155E-3</v>
      </c>
      <c r="I72" s="467">
        <v>175915.67696705868</v>
      </c>
      <c r="J72" s="270"/>
      <c r="K72" s="272">
        <f>ROUND(H72*I72,2)</f>
        <v>1535.74</v>
      </c>
      <c r="L72" s="268"/>
      <c r="M72" s="316"/>
      <c r="N72" s="316"/>
      <c r="O72" s="316"/>
      <c r="P72" s="316"/>
      <c r="Q72" s="270"/>
      <c r="R72" s="270"/>
      <c r="S72" s="270"/>
    </row>
    <row r="73" spans="2:19" ht="12.75" customHeight="1">
      <c r="B73" s="598">
        <f t="shared" si="1"/>
        <v>64</v>
      </c>
      <c r="C73" s="316"/>
      <c r="D73" s="316" t="s">
        <v>143</v>
      </c>
      <c r="E73" s="598"/>
      <c r="F73" s="277"/>
      <c r="G73" s="308"/>
      <c r="H73" s="297"/>
      <c r="I73" s="267">
        <f>SUM(I71:I72)</f>
        <v>195994.99999999997</v>
      </c>
      <c r="J73" s="358">
        <f>'Rate Impact Rev'!O25</f>
        <v>75825.208898315963</v>
      </c>
      <c r="K73" s="270">
        <f>SUM(K69:K72)</f>
        <v>3042.92</v>
      </c>
      <c r="L73" s="268">
        <f>K73/J73</f>
        <v>4.0130717003109787E-2</v>
      </c>
      <c r="M73" s="316"/>
      <c r="N73" s="316"/>
      <c r="O73" s="316"/>
      <c r="P73" s="316"/>
      <c r="Q73" s="270"/>
      <c r="R73" s="270"/>
      <c r="S73" s="270"/>
    </row>
    <row r="74" spans="2:19" ht="12.75" customHeight="1">
      <c r="B74" s="598">
        <f t="shared" si="1"/>
        <v>65</v>
      </c>
      <c r="C74" s="316"/>
      <c r="D74" s="316"/>
      <c r="E74" s="598"/>
      <c r="F74" s="277"/>
      <c r="G74" s="297"/>
      <c r="H74" s="297"/>
      <c r="I74" s="267"/>
      <c r="J74" s="270"/>
      <c r="K74" s="270"/>
      <c r="L74" s="268"/>
      <c r="M74" s="316"/>
      <c r="N74" s="316"/>
      <c r="O74" s="316"/>
      <c r="P74" s="316"/>
      <c r="Q74" s="270"/>
      <c r="R74" s="270"/>
      <c r="S74" s="270"/>
    </row>
    <row r="75" spans="2:19" ht="12.75" customHeight="1">
      <c r="B75" s="598">
        <f t="shared" si="1"/>
        <v>66</v>
      </c>
      <c r="C75" s="316"/>
      <c r="D75" s="316" t="s">
        <v>317</v>
      </c>
      <c r="E75" s="598" t="s">
        <v>318</v>
      </c>
      <c r="F75" s="277"/>
      <c r="G75" s="297"/>
      <c r="H75" s="297"/>
      <c r="I75" s="267">
        <f>I66+I73</f>
        <v>9942823</v>
      </c>
      <c r="J75" s="270">
        <f t="shared" ref="J75:K75" si="10">J66+J73</f>
        <v>5866274.3984512752</v>
      </c>
      <c r="K75" s="270">
        <f t="shared" si="10"/>
        <v>107715.59</v>
      </c>
      <c r="L75" s="268">
        <f>K75/J75</f>
        <v>1.8361839676036537E-2</v>
      </c>
      <c r="M75" s="316"/>
      <c r="N75" s="316"/>
      <c r="O75" s="316"/>
      <c r="P75" s="316"/>
      <c r="Q75" s="270"/>
      <c r="R75" s="270"/>
      <c r="S75" s="270"/>
    </row>
    <row r="76" spans="2:19" ht="12.75" customHeight="1">
      <c r="B76" s="598">
        <f t="shared" si="1"/>
        <v>67</v>
      </c>
      <c r="C76" s="316"/>
      <c r="D76" s="316"/>
      <c r="E76" s="598"/>
      <c r="F76" s="277"/>
      <c r="G76" s="297"/>
      <c r="H76" s="297"/>
      <c r="I76" s="267"/>
      <c r="J76" s="270"/>
      <c r="K76" s="270"/>
      <c r="L76" s="268"/>
      <c r="M76" s="316"/>
      <c r="N76" s="316"/>
      <c r="O76" s="316"/>
      <c r="P76" s="316"/>
      <c r="Q76" s="270"/>
      <c r="R76" s="270"/>
      <c r="S76" s="270"/>
    </row>
    <row r="77" spans="2:19" s="316" customFormat="1" ht="12.75" customHeight="1">
      <c r="B77" s="598">
        <f t="shared" si="1"/>
        <v>68</v>
      </c>
      <c r="C77" s="316" t="s">
        <v>306</v>
      </c>
      <c r="E77" s="598">
        <v>87</v>
      </c>
      <c r="F77" s="277"/>
      <c r="G77" s="297"/>
      <c r="H77" s="297"/>
      <c r="I77" s="267"/>
      <c r="J77" s="270"/>
      <c r="K77" s="270"/>
      <c r="L77" s="268"/>
      <c r="Q77" s="270"/>
      <c r="R77" s="270"/>
      <c r="S77" s="270"/>
    </row>
    <row r="78" spans="2:19" s="316" customFormat="1" ht="12.75" customHeight="1">
      <c r="B78" s="598">
        <f t="shared" si="1"/>
        <v>69</v>
      </c>
      <c r="D78" s="316" t="s">
        <v>307</v>
      </c>
      <c r="E78" s="598"/>
      <c r="F78" s="427">
        <f>'Rate Plan Rates'!G30</f>
        <v>52.37</v>
      </c>
      <c r="G78" s="427">
        <f>'Summary of Rates'!E72</f>
        <v>52.37</v>
      </c>
      <c r="H78" s="297"/>
      <c r="I78" s="267"/>
      <c r="J78" s="270"/>
      <c r="K78" s="270"/>
      <c r="L78" s="268"/>
      <c r="Q78" s="270"/>
      <c r="R78" s="270"/>
      <c r="S78" s="270"/>
    </row>
    <row r="79" spans="2:19" s="316" customFormat="1" ht="12.75" customHeight="1">
      <c r="B79" s="598">
        <f t="shared" si="1"/>
        <v>70</v>
      </c>
      <c r="D79" s="316" t="s">
        <v>186</v>
      </c>
      <c r="E79" s="598"/>
      <c r="F79" s="426">
        <v>0</v>
      </c>
      <c r="G79" s="426">
        <v>0</v>
      </c>
      <c r="H79" s="269">
        <f t="shared" ref="H79:H87" si="11">G79-F79</f>
        <v>0</v>
      </c>
      <c r="I79" s="466">
        <v>0</v>
      </c>
      <c r="J79" s="270"/>
      <c r="K79" s="270">
        <f t="shared" ref="K79:K80" si="12">ROUND(H79*I79,2)</f>
        <v>0</v>
      </c>
      <c r="L79" s="268"/>
      <c r="Q79" s="270"/>
      <c r="R79" s="270"/>
      <c r="S79" s="270"/>
    </row>
    <row r="80" spans="2:19" s="316" customFormat="1" ht="12.75" customHeight="1">
      <c r="B80" s="598">
        <f t="shared" si="1"/>
        <v>71</v>
      </c>
      <c r="D80" s="316" t="s">
        <v>192</v>
      </c>
      <c r="E80" s="598"/>
      <c r="F80" s="308">
        <f>'Rate Plan Rates'!G32</f>
        <v>4.8999999999999998E-4</v>
      </c>
      <c r="G80" s="308">
        <f>'Summary of Rates'!E73</f>
        <v>4.8999999999999998E-4</v>
      </c>
      <c r="H80" s="269">
        <f t="shared" si="11"/>
        <v>0</v>
      </c>
      <c r="I80" s="466">
        <v>23768329</v>
      </c>
      <c r="J80" s="270"/>
      <c r="K80" s="270">
        <f t="shared" si="12"/>
        <v>0</v>
      </c>
      <c r="L80" s="268"/>
      <c r="Q80" s="270"/>
      <c r="R80" s="270"/>
      <c r="S80" s="270"/>
    </row>
    <row r="81" spans="2:19" s="316" customFormat="1" ht="12.75" customHeight="1">
      <c r="B81" s="598">
        <f t="shared" si="1"/>
        <v>72</v>
      </c>
      <c r="D81" s="316" t="s">
        <v>187</v>
      </c>
      <c r="E81" s="598"/>
      <c r="F81" s="277"/>
      <c r="G81" s="308"/>
      <c r="H81" s="269"/>
      <c r="I81" s="466"/>
      <c r="J81" s="270"/>
      <c r="K81" s="270"/>
      <c r="L81" s="268"/>
      <c r="Q81" s="270"/>
      <c r="R81" s="270"/>
      <c r="S81" s="270"/>
    </row>
    <row r="82" spans="2:19" s="316" customFormat="1" ht="12.75" customHeight="1">
      <c r="B82" s="598">
        <f t="shared" si="1"/>
        <v>73</v>
      </c>
      <c r="D82" s="316" t="s">
        <v>308</v>
      </c>
      <c r="E82" s="598"/>
      <c r="F82" s="308">
        <f>'Rate Plan Rates'!G35</f>
        <v>1.306E-2</v>
      </c>
      <c r="G82" s="308">
        <f>'Summary of Rates'!E76</f>
        <v>1.306E-2</v>
      </c>
      <c r="H82" s="269">
        <f t="shared" si="11"/>
        <v>0</v>
      </c>
      <c r="I82" s="466">
        <v>1712708.2929635758</v>
      </c>
      <c r="J82" s="270"/>
      <c r="K82" s="270">
        <f t="shared" ref="K82:K87" si="13">ROUND(H82*I82,2)</f>
        <v>0</v>
      </c>
      <c r="L82" s="268"/>
      <c r="Q82" s="270"/>
      <c r="R82" s="270"/>
      <c r="S82" s="270"/>
    </row>
    <row r="83" spans="2:19" s="316" customFormat="1" ht="12.75" customHeight="1">
      <c r="B83" s="598">
        <f t="shared" ref="B83:B104" si="14">B82+1</f>
        <v>74</v>
      </c>
      <c r="D83" s="316" t="s">
        <v>309</v>
      </c>
      <c r="E83" s="598"/>
      <c r="F83" s="308">
        <f>'Rate Plan Rates'!G36</f>
        <v>7.9000000000000008E-3</v>
      </c>
      <c r="G83" s="308">
        <f>'Summary of Rates'!E77</f>
        <v>7.9000000000000008E-3</v>
      </c>
      <c r="H83" s="269">
        <f t="shared" si="11"/>
        <v>0</v>
      </c>
      <c r="I83" s="466">
        <v>1678435.3814066323</v>
      </c>
      <c r="J83" s="270"/>
      <c r="K83" s="270">
        <f t="shared" si="13"/>
        <v>0</v>
      </c>
      <c r="L83" s="268"/>
      <c r="Q83" s="270"/>
      <c r="R83" s="270"/>
      <c r="S83" s="270"/>
    </row>
    <row r="84" spans="2:19" s="316" customFormat="1" ht="12.75" customHeight="1">
      <c r="B84" s="598">
        <f t="shared" si="14"/>
        <v>75</v>
      </c>
      <c r="D84" s="316" t="s">
        <v>319</v>
      </c>
      <c r="E84" s="598"/>
      <c r="F84" s="308">
        <f>'Rate Plan Rates'!G37</f>
        <v>5.0299999999999997E-3</v>
      </c>
      <c r="G84" s="308">
        <f>'Summary of Rates'!E78</f>
        <v>5.0299999999999997E-3</v>
      </c>
      <c r="H84" s="269">
        <f t="shared" si="11"/>
        <v>0</v>
      </c>
      <c r="I84" s="466">
        <v>3022025.8802915858</v>
      </c>
      <c r="J84" s="270"/>
      <c r="K84" s="270">
        <f t="shared" si="13"/>
        <v>0</v>
      </c>
      <c r="L84" s="268"/>
      <c r="Q84" s="270"/>
      <c r="R84" s="270"/>
      <c r="S84" s="270"/>
    </row>
    <row r="85" spans="2:19" s="316" customFormat="1" ht="12.75" customHeight="1">
      <c r="B85" s="598">
        <f t="shared" si="14"/>
        <v>76</v>
      </c>
      <c r="D85" s="316" t="s">
        <v>267</v>
      </c>
      <c r="E85" s="598"/>
      <c r="F85" s="308">
        <f>'Rate Plan Rates'!G38</f>
        <v>3.2200000000000002E-3</v>
      </c>
      <c r="G85" s="308">
        <f>'Summary of Rates'!E79</f>
        <v>3.2200000000000002E-3</v>
      </c>
      <c r="H85" s="269">
        <f t="shared" si="11"/>
        <v>0</v>
      </c>
      <c r="I85" s="466">
        <v>3504663.5853285049</v>
      </c>
      <c r="J85" s="270"/>
      <c r="K85" s="270">
        <f t="shared" si="13"/>
        <v>0</v>
      </c>
      <c r="L85" s="268"/>
      <c r="Q85" s="270"/>
      <c r="R85" s="270"/>
      <c r="S85" s="270"/>
    </row>
    <row r="86" spans="2:19" s="316" customFormat="1" ht="12.75" customHeight="1">
      <c r="B86" s="598">
        <f t="shared" si="14"/>
        <v>77</v>
      </c>
      <c r="D86" s="602" t="s">
        <v>268</v>
      </c>
      <c r="E86" s="598"/>
      <c r="F86" s="308">
        <f>'Rate Plan Rates'!G39</f>
        <v>2.32E-3</v>
      </c>
      <c r="G86" s="308">
        <f>'Summary of Rates'!E80</f>
        <v>2.32E-3</v>
      </c>
      <c r="H86" s="269">
        <f t="shared" si="11"/>
        <v>0</v>
      </c>
      <c r="I86" s="466">
        <v>4346628.3053790834</v>
      </c>
      <c r="J86" s="270"/>
      <c r="K86" s="270">
        <f t="shared" si="13"/>
        <v>0</v>
      </c>
      <c r="L86" s="268"/>
      <c r="Q86" s="270"/>
      <c r="R86" s="270"/>
      <c r="S86" s="270"/>
    </row>
    <row r="87" spans="2:19" s="316" customFormat="1" ht="12.75" customHeight="1">
      <c r="B87" s="598">
        <f t="shared" si="14"/>
        <v>78</v>
      </c>
      <c r="D87" s="316" t="s">
        <v>320</v>
      </c>
      <c r="E87" s="598"/>
      <c r="F87" s="308">
        <f>'Rate Plan Rates'!G40</f>
        <v>1.7799999999999999E-3</v>
      </c>
      <c r="G87" s="308">
        <f>'Summary of Rates'!E81</f>
        <v>1.7799999999999999E-3</v>
      </c>
      <c r="H87" s="269">
        <f t="shared" si="11"/>
        <v>0</v>
      </c>
      <c r="I87" s="467">
        <v>9503867.5546306185</v>
      </c>
      <c r="J87" s="270"/>
      <c r="K87" s="272">
        <f t="shared" si="13"/>
        <v>0</v>
      </c>
      <c r="L87" s="268"/>
      <c r="Q87" s="270"/>
      <c r="R87" s="270"/>
      <c r="S87" s="270"/>
    </row>
    <row r="88" spans="2:19" s="316" customFormat="1" ht="12.75" customHeight="1">
      <c r="B88" s="598">
        <f t="shared" si="14"/>
        <v>79</v>
      </c>
      <c r="D88" s="316" t="s">
        <v>143</v>
      </c>
      <c r="E88" s="598"/>
      <c r="F88" s="277"/>
      <c r="G88" s="297"/>
      <c r="H88" s="297"/>
      <c r="I88" s="267">
        <f>SUM(I82:I87)</f>
        <v>23768329</v>
      </c>
      <c r="J88" s="270">
        <f>'Rate Impact Rev'!O27</f>
        <v>9906575.931720702</v>
      </c>
      <c r="K88" s="270">
        <f>SUM(K79:K87)</f>
        <v>0</v>
      </c>
      <c r="L88" s="268">
        <f>K88/J88</f>
        <v>0</v>
      </c>
      <c r="Q88" s="270"/>
      <c r="R88" s="270"/>
      <c r="S88" s="270"/>
    </row>
    <row r="89" spans="2:19" s="316" customFormat="1" ht="12.75" customHeight="1">
      <c r="B89" s="598">
        <f t="shared" si="14"/>
        <v>80</v>
      </c>
      <c r="E89" s="598"/>
      <c r="F89" s="277"/>
      <c r="G89" s="297"/>
      <c r="H89" s="297"/>
      <c r="I89" s="267"/>
      <c r="J89" s="270"/>
      <c r="K89" s="270"/>
      <c r="L89" s="268"/>
      <c r="Q89" s="270"/>
      <c r="R89" s="270"/>
      <c r="S89" s="270"/>
    </row>
    <row r="90" spans="2:19" s="316" customFormat="1" ht="12.75" customHeight="1">
      <c r="B90" s="598">
        <f t="shared" si="14"/>
        <v>81</v>
      </c>
      <c r="C90" s="316" t="s">
        <v>311</v>
      </c>
      <c r="E90" s="598" t="s">
        <v>245</v>
      </c>
      <c r="F90" s="277"/>
      <c r="G90" s="297"/>
      <c r="H90" s="297"/>
      <c r="I90" s="267"/>
      <c r="J90" s="270"/>
      <c r="K90" s="270"/>
      <c r="L90" s="268"/>
      <c r="Q90" s="270"/>
      <c r="R90" s="270"/>
      <c r="S90" s="270"/>
    </row>
    <row r="91" spans="2:19" s="316" customFormat="1" ht="12.75" customHeight="1">
      <c r="B91" s="598">
        <f t="shared" si="14"/>
        <v>82</v>
      </c>
      <c r="D91" s="316" t="s">
        <v>307</v>
      </c>
      <c r="E91" s="598"/>
      <c r="F91" s="427">
        <f>'Rate Plan Rates'!G43</f>
        <v>83.78</v>
      </c>
      <c r="G91" s="427">
        <f>'Summary of Rates'!E84</f>
        <v>83.78</v>
      </c>
      <c r="H91" s="297"/>
      <c r="I91" s="267"/>
      <c r="J91" s="270"/>
      <c r="K91" s="270"/>
      <c r="L91" s="268"/>
      <c r="Q91" s="270"/>
      <c r="R91" s="270"/>
      <c r="S91" s="270"/>
    </row>
    <row r="92" spans="2:19" s="316" customFormat="1" ht="12.75" customHeight="1">
      <c r="B92" s="598">
        <f t="shared" si="14"/>
        <v>83</v>
      </c>
      <c r="D92" s="316" t="s">
        <v>186</v>
      </c>
      <c r="E92" s="598"/>
      <c r="F92" s="426">
        <v>0</v>
      </c>
      <c r="G92" s="426">
        <v>0</v>
      </c>
      <c r="H92" s="269">
        <f t="shared" ref="H92:H99" si="15">G92-F92</f>
        <v>0</v>
      </c>
      <c r="I92" s="466">
        <v>574392</v>
      </c>
      <c r="J92" s="270"/>
      <c r="K92" s="270">
        <f>ROUND(H92*I92,2)</f>
        <v>0</v>
      </c>
      <c r="L92" s="268"/>
      <c r="Q92" s="270"/>
      <c r="R92" s="270"/>
      <c r="S92" s="270"/>
    </row>
    <row r="93" spans="2:19" s="316" customFormat="1" ht="12.75" customHeight="1">
      <c r="B93" s="598">
        <f t="shared" si="14"/>
        <v>84</v>
      </c>
      <c r="D93" s="316" t="s">
        <v>187</v>
      </c>
      <c r="E93" s="598"/>
      <c r="F93" s="277"/>
      <c r="G93" s="308"/>
      <c r="H93" s="269"/>
      <c r="I93" s="466"/>
      <c r="J93" s="270"/>
      <c r="K93" s="270"/>
      <c r="L93" s="268"/>
      <c r="Q93" s="270"/>
      <c r="R93" s="270"/>
      <c r="S93" s="270"/>
    </row>
    <row r="94" spans="2:19" s="316" customFormat="1" ht="12.75" customHeight="1">
      <c r="B94" s="598">
        <f t="shared" si="14"/>
        <v>85</v>
      </c>
      <c r="D94" s="316" t="s">
        <v>308</v>
      </c>
      <c r="E94" s="598"/>
      <c r="F94" s="308">
        <f>'Rate Plan Rates'!G47</f>
        <v>1.306E-2</v>
      </c>
      <c r="G94" s="308">
        <f>'Summary of Rates'!E87</f>
        <v>1.306E-2</v>
      </c>
      <c r="H94" s="269">
        <f t="shared" si="15"/>
        <v>0</v>
      </c>
      <c r="I94" s="466">
        <v>3684045.4891521856</v>
      </c>
      <c r="J94" s="270"/>
      <c r="K94" s="270">
        <f t="shared" ref="K94:K99" si="16">ROUND(H94*I94,2)</f>
        <v>0</v>
      </c>
      <c r="L94" s="268"/>
      <c r="Q94" s="270"/>
      <c r="R94" s="270"/>
      <c r="S94" s="270"/>
    </row>
    <row r="95" spans="2:19" s="316" customFormat="1" ht="12.75" customHeight="1">
      <c r="B95" s="598">
        <f t="shared" si="14"/>
        <v>86</v>
      </c>
      <c r="D95" s="316" t="s">
        <v>309</v>
      </c>
      <c r="E95" s="598"/>
      <c r="F95" s="308">
        <f>'Rate Plan Rates'!G48</f>
        <v>7.9000000000000008E-3</v>
      </c>
      <c r="G95" s="308">
        <f>'Summary of Rates'!E88</f>
        <v>7.9000000000000008E-3</v>
      </c>
      <c r="H95" s="269">
        <f t="shared" si="15"/>
        <v>0</v>
      </c>
      <c r="I95" s="466">
        <v>3651096.0015273923</v>
      </c>
      <c r="J95" s="270"/>
      <c r="K95" s="270">
        <f t="shared" si="16"/>
        <v>0</v>
      </c>
      <c r="L95" s="268"/>
      <c r="Q95" s="270"/>
      <c r="R95" s="270"/>
      <c r="S95" s="270"/>
    </row>
    <row r="96" spans="2:19" s="316" customFormat="1" ht="12.75" customHeight="1">
      <c r="B96" s="598">
        <f t="shared" si="14"/>
        <v>87</v>
      </c>
      <c r="D96" s="316" t="s">
        <v>319</v>
      </c>
      <c r="E96" s="598"/>
      <c r="F96" s="308">
        <f>'Rate Plan Rates'!G49</f>
        <v>5.0299999999999997E-3</v>
      </c>
      <c r="G96" s="308">
        <f>'Summary of Rates'!E89</f>
        <v>5.0299999999999997E-3</v>
      </c>
      <c r="H96" s="269">
        <f t="shared" si="15"/>
        <v>0</v>
      </c>
      <c r="I96" s="466">
        <v>7084885.7687931526</v>
      </c>
      <c r="J96" s="270"/>
      <c r="K96" s="270">
        <f t="shared" si="16"/>
        <v>0</v>
      </c>
      <c r="L96" s="268"/>
      <c r="Q96" s="270"/>
      <c r="R96" s="270"/>
      <c r="S96" s="270"/>
    </row>
    <row r="97" spans="2:19" s="316" customFormat="1" ht="12.75" customHeight="1">
      <c r="B97" s="598">
        <f t="shared" si="14"/>
        <v>88</v>
      </c>
      <c r="D97" s="316" t="s">
        <v>267</v>
      </c>
      <c r="E97" s="598"/>
      <c r="F97" s="308">
        <f>'Rate Plan Rates'!G50</f>
        <v>3.2200000000000002E-3</v>
      </c>
      <c r="G97" s="308">
        <f>'Summary of Rates'!E90</f>
        <v>3.2200000000000002E-3</v>
      </c>
      <c r="H97" s="269">
        <f t="shared" si="15"/>
        <v>0</v>
      </c>
      <c r="I97" s="466">
        <v>12940154.681795362</v>
      </c>
      <c r="J97" s="270"/>
      <c r="K97" s="270">
        <f t="shared" si="16"/>
        <v>0</v>
      </c>
      <c r="L97" s="268"/>
      <c r="Q97" s="270"/>
      <c r="R97" s="270"/>
      <c r="S97" s="270"/>
    </row>
    <row r="98" spans="2:19" s="316" customFormat="1" ht="12.75" customHeight="1">
      <c r="B98" s="598">
        <f t="shared" si="14"/>
        <v>89</v>
      </c>
      <c r="D98" s="602" t="s">
        <v>268</v>
      </c>
      <c r="E98" s="598"/>
      <c r="F98" s="308">
        <f>'Rate Plan Rates'!G51</f>
        <v>2.32E-3</v>
      </c>
      <c r="G98" s="308">
        <f>'Summary of Rates'!E91</f>
        <v>2.32E-3</v>
      </c>
      <c r="H98" s="269">
        <f t="shared" si="15"/>
        <v>0</v>
      </c>
      <c r="I98" s="466">
        <v>28710499.330322787</v>
      </c>
      <c r="J98" s="270"/>
      <c r="K98" s="270">
        <f t="shared" si="16"/>
        <v>0</v>
      </c>
      <c r="L98" s="268"/>
      <c r="Q98" s="270"/>
      <c r="R98" s="270"/>
      <c r="S98" s="270"/>
    </row>
    <row r="99" spans="2:19" s="316" customFormat="1" ht="12.75" customHeight="1">
      <c r="B99" s="598">
        <f t="shared" si="14"/>
        <v>90</v>
      </c>
      <c r="D99" s="316" t="s">
        <v>320</v>
      </c>
      <c r="E99" s="598"/>
      <c r="F99" s="308">
        <f>'Rate Plan Rates'!G52</f>
        <v>1.7799999999999999E-3</v>
      </c>
      <c r="G99" s="308">
        <f>'Summary of Rates'!E92</f>
        <v>1.7799999999999999E-3</v>
      </c>
      <c r="H99" s="269">
        <f t="shared" si="15"/>
        <v>0</v>
      </c>
      <c r="I99" s="467">
        <v>39455317.728409119</v>
      </c>
      <c r="J99" s="270"/>
      <c r="K99" s="272">
        <f t="shared" si="16"/>
        <v>0</v>
      </c>
      <c r="L99" s="268"/>
      <c r="Q99" s="270"/>
      <c r="R99" s="270"/>
      <c r="S99" s="270"/>
    </row>
    <row r="100" spans="2:19" s="316" customFormat="1" ht="12.75" customHeight="1">
      <c r="B100" s="598">
        <f t="shared" si="14"/>
        <v>91</v>
      </c>
      <c r="D100" s="316" t="s">
        <v>143</v>
      </c>
      <c r="E100" s="598"/>
      <c r="F100" s="277"/>
      <c r="G100" s="297"/>
      <c r="H100" s="297"/>
      <c r="I100" s="267">
        <f>SUM(I94:I99)</f>
        <v>95525999</v>
      </c>
      <c r="J100" s="270">
        <f>'Rate Impact Rev'!O28</f>
        <v>5341515.8033254789</v>
      </c>
      <c r="K100" s="270">
        <f>SUM(K92:K99)</f>
        <v>0</v>
      </c>
      <c r="L100" s="268">
        <f>K100/J100</f>
        <v>0</v>
      </c>
      <c r="Q100" s="270"/>
      <c r="R100" s="270"/>
      <c r="S100" s="270"/>
    </row>
    <row r="101" spans="2:19" s="316" customFormat="1" ht="12.75" customHeight="1">
      <c r="B101" s="598">
        <f t="shared" si="14"/>
        <v>92</v>
      </c>
      <c r="E101" s="598"/>
      <c r="F101" s="277"/>
      <c r="G101" s="297"/>
      <c r="H101" s="297"/>
      <c r="I101" s="267"/>
      <c r="J101" s="270"/>
      <c r="K101" s="270"/>
      <c r="L101" s="268"/>
      <c r="Q101" s="270"/>
      <c r="R101" s="270"/>
      <c r="S101" s="270"/>
    </row>
    <row r="102" spans="2:19" s="316" customFormat="1" ht="12.75" customHeight="1">
      <c r="B102" s="598">
        <f t="shared" si="14"/>
        <v>93</v>
      </c>
      <c r="D102" s="316" t="s">
        <v>321</v>
      </c>
      <c r="E102" s="598" t="s">
        <v>322</v>
      </c>
      <c r="F102" s="277"/>
      <c r="G102" s="297"/>
      <c r="H102" s="297"/>
      <c r="I102" s="267"/>
      <c r="J102" s="270">
        <f>J88+J100</f>
        <v>15248091.735046182</v>
      </c>
      <c r="K102" s="270">
        <f>K88+K100</f>
        <v>0</v>
      </c>
      <c r="L102" s="268">
        <f>K102/J102</f>
        <v>0</v>
      </c>
      <c r="Q102" s="270"/>
      <c r="R102" s="270"/>
      <c r="S102" s="270"/>
    </row>
    <row r="103" spans="2:19" s="316" customFormat="1" ht="12.75" customHeight="1">
      <c r="B103" s="598">
        <f t="shared" si="14"/>
        <v>94</v>
      </c>
      <c r="E103" s="598"/>
      <c r="F103" s="277"/>
      <c r="G103" s="297"/>
      <c r="H103" s="297"/>
      <c r="I103" s="267"/>
      <c r="J103" s="270"/>
      <c r="K103" s="270"/>
      <c r="L103" s="268"/>
      <c r="Q103" s="270"/>
      <c r="R103" s="270"/>
      <c r="S103" s="270"/>
    </row>
    <row r="104" spans="2:19" ht="12.75" customHeight="1">
      <c r="B104" s="598">
        <f t="shared" si="14"/>
        <v>95</v>
      </c>
      <c r="C104" s="316"/>
      <c r="D104" s="316" t="s">
        <v>143</v>
      </c>
      <c r="E104" s="598"/>
      <c r="F104" s="297"/>
      <c r="G104" s="297"/>
      <c r="H104" s="297"/>
      <c r="I104" s="267">
        <f>I11+I13+I18+I27+I35+I47+I56+I66+I73+I88+I100</f>
        <v>1159941983.3322129</v>
      </c>
      <c r="J104" s="270">
        <f>J11+J13+J18+J27+J35+J47+J56+J66+J73+J88+J100</f>
        <v>902031592.11784625</v>
      </c>
      <c r="K104" s="270">
        <f>K11+K13+K18+K27+K35+K47+K56+K66+K73+K88+K100</f>
        <v>25358259.560000006</v>
      </c>
      <c r="L104" s="268">
        <f>K104/J104</f>
        <v>2.8112385177621435E-2</v>
      </c>
      <c r="M104" s="316"/>
      <c r="N104" s="316"/>
      <c r="O104" s="316"/>
      <c r="P104" s="316"/>
      <c r="Q104" s="270"/>
      <c r="R104" s="270"/>
      <c r="S104" s="270"/>
    </row>
    <row r="105" spans="2:19" ht="12.75" customHeight="1">
      <c r="B105" s="316"/>
      <c r="C105" s="316"/>
      <c r="D105" s="316"/>
      <c r="E105" s="316"/>
      <c r="F105" s="316"/>
      <c r="G105" s="316"/>
      <c r="H105" s="316"/>
      <c r="I105" s="316"/>
      <c r="J105" s="316"/>
      <c r="K105" s="316"/>
      <c r="L105" s="316"/>
      <c r="M105" s="316"/>
      <c r="N105" s="316"/>
      <c r="O105" s="316"/>
      <c r="P105" s="316"/>
      <c r="Q105" s="316"/>
      <c r="R105" s="270"/>
      <c r="S105" s="316"/>
    </row>
    <row r="106" spans="2:19" ht="12.75" customHeight="1">
      <c r="B106" s="276"/>
      <c r="C106" s="628"/>
      <c r="D106" s="629"/>
      <c r="E106" s="629"/>
      <c r="F106" s="629"/>
      <c r="G106" s="629"/>
      <c r="H106" s="629"/>
      <c r="I106" s="629"/>
      <c r="J106" s="629"/>
      <c r="K106" s="629"/>
      <c r="L106" s="629"/>
      <c r="M106" s="316"/>
      <c r="N106" s="316"/>
      <c r="O106" s="316"/>
      <c r="P106" s="316"/>
      <c r="Q106" s="316"/>
      <c r="R106" s="270"/>
      <c r="S106" s="316"/>
    </row>
    <row r="107" spans="2:19">
      <c r="B107" s="316"/>
      <c r="C107" s="315"/>
      <c r="D107" s="316"/>
      <c r="E107" s="316"/>
      <c r="F107" s="316"/>
      <c r="G107" s="316"/>
      <c r="H107" s="316"/>
      <c r="I107" s="316"/>
      <c r="J107" s="316"/>
      <c r="K107" s="316"/>
      <c r="L107" s="316"/>
      <c r="M107" s="316"/>
      <c r="N107" s="316"/>
      <c r="O107" s="316"/>
      <c r="P107" s="316"/>
      <c r="Q107" s="316"/>
      <c r="R107" s="270"/>
      <c r="S107" s="316"/>
    </row>
    <row r="108" spans="2:19">
      <c r="B108" s="316"/>
      <c r="C108" s="316"/>
      <c r="D108" s="316"/>
      <c r="E108" s="316"/>
      <c r="F108" s="316"/>
      <c r="G108" s="316"/>
      <c r="H108" s="316"/>
      <c r="I108" s="316"/>
      <c r="J108" s="316"/>
      <c r="K108" s="316"/>
      <c r="L108" s="316"/>
      <c r="M108" s="316"/>
      <c r="N108" s="316"/>
      <c r="O108" s="316"/>
      <c r="P108" s="316"/>
      <c r="Q108" s="316"/>
      <c r="R108" s="270"/>
      <c r="S108" s="316"/>
    </row>
    <row r="109" spans="2:19">
      <c r="B109" s="316"/>
      <c r="C109" s="316"/>
      <c r="D109" s="316"/>
      <c r="E109" s="316"/>
      <c r="F109" s="316"/>
      <c r="G109" s="316"/>
      <c r="H109" s="316"/>
      <c r="I109" s="316"/>
      <c r="J109" s="316"/>
      <c r="K109" s="316"/>
      <c r="L109" s="316"/>
      <c r="M109" s="316"/>
      <c r="N109" s="316"/>
      <c r="O109" s="316"/>
      <c r="P109" s="316"/>
      <c r="Q109" s="316"/>
      <c r="R109" s="270"/>
      <c r="S109" s="316"/>
    </row>
    <row r="110" spans="2:19">
      <c r="B110" s="316"/>
      <c r="C110" s="316"/>
      <c r="D110" s="316"/>
      <c r="E110" s="316"/>
      <c r="F110" s="316"/>
      <c r="G110" s="316"/>
      <c r="H110" s="316"/>
      <c r="I110" s="316"/>
      <c r="J110" s="316"/>
      <c r="K110" s="316"/>
      <c r="L110" s="316"/>
      <c r="M110" s="316"/>
      <c r="N110" s="316"/>
      <c r="O110" s="316"/>
      <c r="P110" s="316"/>
      <c r="Q110" s="316"/>
      <c r="R110" s="270"/>
      <c r="S110" s="316"/>
    </row>
    <row r="111" spans="2:19">
      <c r="B111" s="316"/>
      <c r="C111" s="316"/>
      <c r="D111" s="316"/>
      <c r="E111" s="316"/>
      <c r="F111" s="316"/>
      <c r="G111" s="316"/>
      <c r="H111" s="316"/>
      <c r="I111" s="316"/>
      <c r="J111" s="316"/>
      <c r="K111" s="316"/>
      <c r="L111" s="316"/>
      <c r="M111" s="316"/>
      <c r="N111" s="316"/>
      <c r="O111" s="316"/>
      <c r="P111" s="316"/>
      <c r="Q111" s="316"/>
      <c r="R111" s="270"/>
      <c r="S111" s="316"/>
    </row>
    <row r="112" spans="2:19">
      <c r="B112" s="316"/>
      <c r="C112" s="316"/>
      <c r="D112" s="316"/>
      <c r="E112" s="316"/>
      <c r="F112" s="316"/>
      <c r="G112" s="316"/>
      <c r="H112" s="316"/>
      <c r="I112" s="316"/>
      <c r="J112" s="316"/>
      <c r="K112" s="316"/>
      <c r="L112" s="316"/>
      <c r="M112" s="316"/>
      <c r="N112" s="316"/>
      <c r="O112" s="316"/>
      <c r="P112" s="316"/>
      <c r="Q112" s="316"/>
      <c r="R112" s="270"/>
      <c r="S112" s="316"/>
    </row>
    <row r="113" spans="18:18">
      <c r="R113" s="270"/>
    </row>
    <row r="114" spans="18:18">
      <c r="R114" s="270"/>
    </row>
    <row r="115" spans="18:18">
      <c r="R115" s="270"/>
    </row>
    <row r="116" spans="18:18">
      <c r="R116" s="270"/>
    </row>
    <row r="117" spans="18:18">
      <c r="R117" s="270"/>
    </row>
    <row r="118" spans="18:18">
      <c r="R118" s="270"/>
    </row>
    <row r="119" spans="18:18">
      <c r="R119" s="270"/>
    </row>
    <row r="120" spans="18:18">
      <c r="R120" s="270"/>
    </row>
    <row r="121" spans="18:18">
      <c r="R121" s="270"/>
    </row>
    <row r="122" spans="18:18">
      <c r="R122" s="270"/>
    </row>
    <row r="123" spans="18:18">
      <c r="R123" s="270"/>
    </row>
    <row r="124" spans="18:18">
      <c r="R124" s="270"/>
    </row>
    <row r="125" spans="18:18">
      <c r="R125" s="270"/>
    </row>
    <row r="126" spans="18:18">
      <c r="R126" s="270"/>
    </row>
    <row r="127" spans="18:18">
      <c r="R127" s="270"/>
    </row>
    <row r="128" spans="18:18">
      <c r="R128" s="270"/>
    </row>
    <row r="129" spans="18:18">
      <c r="R129" s="270"/>
    </row>
    <row r="130" spans="18:18">
      <c r="R130" s="270"/>
    </row>
    <row r="131" spans="18:18">
      <c r="R131" s="270"/>
    </row>
    <row r="132" spans="18:18">
      <c r="R132" s="270"/>
    </row>
    <row r="133" spans="18:18">
      <c r="R133" s="270"/>
    </row>
    <row r="134" spans="18:18">
      <c r="R134" s="270"/>
    </row>
    <row r="135" spans="18:18">
      <c r="R135" s="270"/>
    </row>
    <row r="136" spans="18:18">
      <c r="R136" s="270"/>
    </row>
    <row r="137" spans="18:18">
      <c r="R137" s="270"/>
    </row>
    <row r="138" spans="18:18">
      <c r="R138" s="270"/>
    </row>
    <row r="139" spans="18:18">
      <c r="R139" s="270"/>
    </row>
    <row r="140" spans="18:18">
      <c r="R140" s="270"/>
    </row>
    <row r="141" spans="18:18">
      <c r="R141" s="270"/>
    </row>
    <row r="142" spans="18:18">
      <c r="R142" s="270"/>
    </row>
    <row r="143" spans="18:18">
      <c r="R143" s="270"/>
    </row>
  </sheetData>
  <mergeCells count="5">
    <mergeCell ref="B2:L2"/>
    <mergeCell ref="C8:D8"/>
    <mergeCell ref="C106:L106"/>
    <mergeCell ref="B3:L3"/>
    <mergeCell ref="B4:L4"/>
  </mergeCells>
  <printOptions horizontalCentered="1"/>
  <pageMargins left="0.7" right="0.7" top="0.75" bottom="0.75" header="0.3" footer="0.3"/>
  <pageSetup scale="83"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B1:H48"/>
  <sheetViews>
    <sheetView zoomScale="65" workbookViewId="0">
      <selection activeCell="I68" sqref="I68"/>
    </sheetView>
  </sheetViews>
  <sheetFormatPr baseColWidth="10" defaultColWidth="9.1640625" defaultRowHeight="13"/>
  <cols>
    <col min="1" max="1" width="2.1640625" style="237" customWidth="1"/>
    <col min="2" max="2" width="2.5" style="237" customWidth="1"/>
    <col min="3" max="3" width="41.1640625" style="237" customWidth="1"/>
    <col min="4" max="4" width="11.6640625" style="237" bestFit="1" customWidth="1"/>
    <col min="5" max="5" width="7.83203125" style="237" bestFit="1" customWidth="1"/>
    <col min="6" max="6" width="1.6640625" style="248" customWidth="1"/>
    <col min="7" max="7" width="10.33203125" style="237" bestFit="1" customWidth="1"/>
    <col min="8" max="8" width="8.6640625" style="237" customWidth="1"/>
    <col min="9" max="16384" width="9.1640625" style="237"/>
  </cols>
  <sheetData>
    <row r="1" spans="2:8">
      <c r="B1" s="617" t="s">
        <v>22</v>
      </c>
      <c r="C1" s="617"/>
      <c r="D1" s="617"/>
      <c r="E1" s="617"/>
      <c r="F1" s="617"/>
      <c r="G1" s="617"/>
      <c r="H1" s="617"/>
    </row>
    <row r="2" spans="2:8">
      <c r="B2" s="619" t="str">
        <f>'Rate Change Calc'!A2</f>
        <v>2016 Gas Decoupling Filing</v>
      </c>
      <c r="C2" s="619"/>
      <c r="D2" s="619"/>
      <c r="E2" s="619"/>
      <c r="F2" s="619"/>
      <c r="G2" s="619"/>
      <c r="H2" s="619"/>
    </row>
    <row r="3" spans="2:8">
      <c r="B3" s="617" t="s">
        <v>330</v>
      </c>
      <c r="C3" s="617"/>
      <c r="D3" s="617"/>
      <c r="E3" s="617"/>
      <c r="F3" s="617"/>
      <c r="G3" s="617"/>
      <c r="H3" s="617"/>
    </row>
    <row r="4" spans="2:8">
      <c r="B4" s="619" t="str">
        <f>'Rate Change Calc'!A4</f>
        <v>Proposed Effective May 1, 2016</v>
      </c>
      <c r="C4" s="619"/>
      <c r="D4" s="619"/>
      <c r="E4" s="619"/>
      <c r="F4" s="619"/>
      <c r="G4" s="619"/>
      <c r="H4" s="619"/>
    </row>
    <row r="7" spans="2:8">
      <c r="B7" s="326"/>
      <c r="C7" s="326"/>
      <c r="D7" s="296" t="s">
        <v>289</v>
      </c>
      <c r="E7" s="296"/>
      <c r="F7" s="28"/>
      <c r="G7" s="296" t="s">
        <v>331</v>
      </c>
      <c r="H7" s="296"/>
    </row>
    <row r="8" spans="2:8">
      <c r="B8" s="326"/>
      <c r="C8" s="326"/>
      <c r="D8" s="26" t="s">
        <v>332</v>
      </c>
      <c r="E8" s="26" t="s">
        <v>333</v>
      </c>
      <c r="F8" s="31"/>
      <c r="G8" s="26" t="s">
        <v>174</v>
      </c>
      <c r="H8" s="26" t="s">
        <v>333</v>
      </c>
    </row>
    <row r="9" spans="2:8">
      <c r="B9" s="326" t="s">
        <v>334</v>
      </c>
      <c r="C9" s="326"/>
      <c r="D9" s="238">
        <v>68</v>
      </c>
      <c r="E9" s="239"/>
      <c r="F9" s="240"/>
      <c r="G9" s="238">
        <v>68</v>
      </c>
      <c r="H9" s="239"/>
    </row>
    <row r="10" spans="2:8">
      <c r="B10" s="326"/>
      <c r="C10" s="326"/>
      <c r="D10" s="238"/>
      <c r="E10" s="239"/>
      <c r="F10" s="240"/>
      <c r="G10" s="238"/>
      <c r="H10" s="239"/>
    </row>
    <row r="11" spans="2:8">
      <c r="B11" s="326" t="s">
        <v>335</v>
      </c>
      <c r="C11" s="326"/>
      <c r="D11" s="238"/>
      <c r="E11" s="239"/>
      <c r="F11" s="240"/>
      <c r="G11" s="238"/>
      <c r="H11" s="239"/>
    </row>
    <row r="12" spans="2:8">
      <c r="B12" s="326"/>
      <c r="C12" s="326" t="s">
        <v>336</v>
      </c>
      <c r="D12" s="241">
        <v>10.34</v>
      </c>
      <c r="E12" s="239">
        <f>D12</f>
        <v>10.34</v>
      </c>
      <c r="F12" s="242"/>
      <c r="G12" s="243">
        <f>D12</f>
        <v>10.34</v>
      </c>
      <c r="H12" s="239">
        <f>G12</f>
        <v>10.34</v>
      </c>
    </row>
    <row r="13" spans="2:8">
      <c r="B13" s="326"/>
      <c r="C13" s="326" t="s">
        <v>337</v>
      </c>
      <c r="D13" s="244">
        <v>-0.05</v>
      </c>
      <c r="E13" s="245">
        <f>D13</f>
        <v>-0.05</v>
      </c>
      <c r="F13" s="242"/>
      <c r="G13" s="246">
        <f>D13</f>
        <v>-0.05</v>
      </c>
      <c r="H13" s="245">
        <f>G13</f>
        <v>-0.05</v>
      </c>
    </row>
    <row r="14" spans="2:8">
      <c r="B14" s="326"/>
      <c r="C14" s="326" t="s">
        <v>338</v>
      </c>
      <c r="D14" s="247">
        <f>SUM(D12:D13)</f>
        <v>10.29</v>
      </c>
      <c r="E14" s="247">
        <f>SUM(E12:E13)</f>
        <v>10.29</v>
      </c>
      <c r="F14" s="242"/>
      <c r="G14" s="243">
        <f>SUM(G12:G13)</f>
        <v>10.29</v>
      </c>
      <c r="H14" s="239">
        <f>SUM(H12:H13)</f>
        <v>10.29</v>
      </c>
    </row>
    <row r="15" spans="2:8">
      <c r="B15" s="326"/>
      <c r="C15" s="326"/>
      <c r="D15" s="241"/>
      <c r="E15" s="239"/>
      <c r="F15" s="242"/>
      <c r="G15" s="243"/>
      <c r="H15" s="239"/>
    </row>
    <row r="16" spans="2:8">
      <c r="B16" s="326" t="s">
        <v>339</v>
      </c>
      <c r="C16" s="326"/>
      <c r="D16" s="326"/>
      <c r="E16" s="239"/>
      <c r="F16" s="23"/>
      <c r="G16" s="326"/>
      <c r="H16" s="239"/>
    </row>
    <row r="17" spans="3:8">
      <c r="C17" s="326" t="s">
        <v>340</v>
      </c>
      <c r="D17" s="249">
        <v>0.36492000000000002</v>
      </c>
      <c r="E17" s="239"/>
      <c r="F17" s="250"/>
      <c r="G17" s="251">
        <f>D17</f>
        <v>0.36492000000000002</v>
      </c>
      <c r="H17" s="239"/>
    </row>
    <row r="18" spans="3:8">
      <c r="C18" s="326" t="s">
        <v>341</v>
      </c>
      <c r="D18" s="249">
        <v>2.5250000000000002E-2</v>
      </c>
      <c r="E18" s="239"/>
      <c r="F18" s="250"/>
      <c r="G18" s="251">
        <f t="shared" ref="G18:G21" si="0">D18</f>
        <v>2.5250000000000002E-2</v>
      </c>
      <c r="H18" s="239"/>
    </row>
    <row r="19" spans="3:8">
      <c r="C19" s="326" t="s">
        <v>337</v>
      </c>
      <c r="D19" s="249">
        <v>-1.7099999999999999E-3</v>
      </c>
      <c r="E19" s="239"/>
      <c r="F19" s="250"/>
      <c r="G19" s="251">
        <f t="shared" si="0"/>
        <v>-1.7099999999999999E-3</v>
      </c>
      <c r="H19" s="239"/>
    </row>
    <row r="20" spans="3:8">
      <c r="C20" s="326" t="s">
        <v>342</v>
      </c>
      <c r="D20" s="249">
        <v>3.9300000000000002E-2</v>
      </c>
      <c r="E20" s="239"/>
      <c r="F20" s="250"/>
      <c r="G20" s="308">
        <f>'Summary of Rates'!E11</f>
        <v>7.1569999999999995E-2</v>
      </c>
      <c r="H20" s="239"/>
    </row>
    <row r="21" spans="3:8">
      <c r="C21" s="326" t="s">
        <v>343</v>
      </c>
      <c r="D21" s="252">
        <v>7.9699999999999997E-3</v>
      </c>
      <c r="E21" s="239"/>
      <c r="F21" s="250"/>
      <c r="G21" s="251">
        <f t="shared" si="0"/>
        <v>7.9699999999999997E-3</v>
      </c>
      <c r="H21" s="239"/>
    </row>
    <row r="22" spans="3:8">
      <c r="C22" s="326" t="s">
        <v>344</v>
      </c>
      <c r="D22" s="252">
        <v>8.1799999999999998E-3</v>
      </c>
      <c r="E22" s="239"/>
      <c r="F22" s="250"/>
      <c r="G22" s="251">
        <f>D22</f>
        <v>8.1799999999999998E-3</v>
      </c>
      <c r="H22" s="239"/>
    </row>
    <row r="23" spans="3:8">
      <c r="C23" s="326" t="s">
        <v>338</v>
      </c>
      <c r="D23" s="253">
        <f>SUM(D17:D22)</f>
        <v>0.44391000000000003</v>
      </c>
      <c r="E23" s="239">
        <f>ROUND(D23*D$9,2)</f>
        <v>30.19</v>
      </c>
      <c r="F23" s="250"/>
      <c r="G23" s="253">
        <f>SUM(G17:G22)</f>
        <v>0.47618000000000005</v>
      </c>
      <c r="H23" s="239">
        <f>ROUND(G23*G$9,2)</f>
        <v>32.380000000000003</v>
      </c>
    </row>
    <row r="24" spans="3:8">
      <c r="C24" s="326"/>
      <c r="D24" s="251"/>
      <c r="E24" s="239"/>
      <c r="F24" s="250"/>
      <c r="G24" s="251"/>
      <c r="H24" s="239"/>
    </row>
    <row r="25" spans="3:8">
      <c r="C25" s="326" t="s">
        <v>345</v>
      </c>
      <c r="D25" s="249">
        <v>1.504E-2</v>
      </c>
      <c r="E25" s="239">
        <f>ROUND(D25*D$9,2)</f>
        <v>1.02</v>
      </c>
      <c r="F25" s="250"/>
      <c r="G25" s="251">
        <f>D25</f>
        <v>1.504E-2</v>
      </c>
      <c r="H25" s="239">
        <f>ROUND(G25*G$9,2)</f>
        <v>1.02</v>
      </c>
    </row>
    <row r="26" spans="3:8">
      <c r="C26" s="326"/>
      <c r="D26" s="251"/>
      <c r="E26" s="239"/>
      <c r="F26" s="250"/>
      <c r="G26" s="251"/>
      <c r="H26" s="239"/>
    </row>
    <row r="27" spans="3:8">
      <c r="C27" s="326" t="s">
        <v>346</v>
      </c>
      <c r="D27" s="249">
        <v>-3.7699999999999999E-3</v>
      </c>
      <c r="E27" s="239">
        <f>ROUND(D27*D$9,2)</f>
        <v>-0.26</v>
      </c>
      <c r="F27" s="250"/>
      <c r="G27" s="297">
        <f>D27</f>
        <v>-3.7699999999999999E-3</v>
      </c>
      <c r="H27" s="239">
        <f>ROUND(G27*G$9,2)</f>
        <v>-0.26</v>
      </c>
    </row>
    <row r="28" spans="3:8">
      <c r="C28" s="326"/>
      <c r="D28" s="251"/>
      <c r="E28" s="239"/>
      <c r="F28" s="250"/>
      <c r="G28" s="251"/>
      <c r="H28" s="239"/>
    </row>
    <row r="29" spans="3:8">
      <c r="C29" s="326" t="s">
        <v>347</v>
      </c>
      <c r="D29" s="249">
        <v>0.44113000000000002</v>
      </c>
      <c r="E29" s="239"/>
      <c r="F29" s="250"/>
      <c r="G29" s="251">
        <f>D29</f>
        <v>0.44113000000000002</v>
      </c>
      <c r="H29" s="239"/>
    </row>
    <row r="30" spans="3:8">
      <c r="C30" s="326" t="s">
        <v>348</v>
      </c>
      <c r="D30" s="249">
        <v>-3.601E-2</v>
      </c>
      <c r="E30" s="239"/>
      <c r="F30" s="250"/>
      <c r="G30" s="254">
        <f>+D30</f>
        <v>-3.601E-2</v>
      </c>
      <c r="H30" s="239"/>
    </row>
    <row r="31" spans="3:8">
      <c r="C31" s="326" t="s">
        <v>349</v>
      </c>
      <c r="D31" s="249">
        <v>0</v>
      </c>
      <c r="E31" s="239"/>
      <c r="F31" s="250"/>
      <c r="G31" s="251">
        <f>D31</f>
        <v>0</v>
      </c>
      <c r="H31" s="239"/>
    </row>
    <row r="32" spans="3:8">
      <c r="C32" s="326" t="s">
        <v>338</v>
      </c>
      <c r="D32" s="253">
        <f>SUM(D29:D31)</f>
        <v>0.40512000000000004</v>
      </c>
      <c r="E32" s="239">
        <f>ROUND(D32*D$9,2)</f>
        <v>27.55</v>
      </c>
      <c r="F32" s="250"/>
      <c r="G32" s="253">
        <f>SUM(G29:G31)</f>
        <v>0.40512000000000004</v>
      </c>
      <c r="H32" s="239">
        <f>ROUND(G32*G$9,2)</f>
        <v>27.55</v>
      </c>
    </row>
    <row r="33" spans="2:8">
      <c r="B33" s="326"/>
      <c r="C33" s="326" t="s">
        <v>350</v>
      </c>
      <c r="D33" s="253">
        <f>D23+D25+D27+D32</f>
        <v>0.86030000000000006</v>
      </c>
      <c r="E33" s="604">
        <f>SUM(E23,E25,E27,E32)</f>
        <v>58.5</v>
      </c>
      <c r="F33" s="605"/>
      <c r="G33" s="253">
        <f>G23+G25+G27+G32</f>
        <v>0.89257000000000009</v>
      </c>
      <c r="H33" s="604">
        <f>SUM(H23,H25,H27,H32)</f>
        <v>60.690000000000012</v>
      </c>
    </row>
    <row r="34" spans="2:8">
      <c r="B34" s="326"/>
      <c r="C34" s="326"/>
      <c r="D34" s="326"/>
      <c r="E34" s="239"/>
      <c r="F34" s="23"/>
      <c r="G34" s="251"/>
      <c r="H34" s="239"/>
    </row>
    <row r="35" spans="2:8">
      <c r="B35" s="326" t="s">
        <v>351</v>
      </c>
      <c r="C35" s="326"/>
      <c r="D35" s="243"/>
      <c r="E35" s="239">
        <f>E14+E33</f>
        <v>68.789999999999992</v>
      </c>
      <c r="F35" s="606"/>
      <c r="G35" s="243"/>
      <c r="H35" s="239">
        <f>H14+H33</f>
        <v>70.980000000000018</v>
      </c>
    </row>
    <row r="36" spans="2:8">
      <c r="B36" s="326" t="s">
        <v>352</v>
      </c>
      <c r="C36" s="326"/>
      <c r="D36" s="243"/>
      <c r="E36" s="239"/>
      <c r="F36" s="606"/>
      <c r="G36" s="243"/>
      <c r="H36" s="239">
        <f>H35-$E35</f>
        <v>2.1900000000000261</v>
      </c>
    </row>
    <row r="37" spans="2:8">
      <c r="B37" s="326" t="s">
        <v>353</v>
      </c>
      <c r="C37" s="326"/>
      <c r="D37" s="255"/>
      <c r="E37" s="255"/>
      <c r="F37" s="256"/>
      <c r="G37" s="255"/>
      <c r="H37" s="255">
        <f>H36/$E35</f>
        <v>3.1836022677715167E-2</v>
      </c>
    </row>
    <row r="38" spans="2:8">
      <c r="B38" s="326"/>
      <c r="C38" s="326"/>
      <c r="D38" s="326"/>
      <c r="E38" s="239"/>
      <c r="F38" s="23"/>
      <c r="G38" s="326"/>
      <c r="H38" s="326"/>
    </row>
    <row r="39" spans="2:8">
      <c r="B39" s="326" t="s">
        <v>354</v>
      </c>
      <c r="C39" s="326"/>
      <c r="D39" s="251">
        <f>D23+D25+D27</f>
        <v>0.45518000000000003</v>
      </c>
      <c r="E39" s="239"/>
      <c r="F39" s="605"/>
      <c r="G39" s="251">
        <f>G23+G25+G27</f>
        <v>0.48745000000000005</v>
      </c>
      <c r="H39" s="326"/>
    </row>
    <row r="42" spans="2:8">
      <c r="B42" s="257" t="s">
        <v>355</v>
      </c>
      <c r="C42" s="257"/>
      <c r="D42" s="257"/>
      <c r="E42" s="257"/>
      <c r="F42" s="324"/>
      <c r="G42" s="324"/>
      <c r="H42" s="324"/>
    </row>
    <row r="43" spans="2:8">
      <c r="B43" s="257" t="s">
        <v>356</v>
      </c>
      <c r="C43" s="326"/>
      <c r="D43" s="326"/>
      <c r="E43" s="326"/>
      <c r="F43" s="23"/>
      <c r="G43" s="326"/>
      <c r="H43" s="326"/>
    </row>
    <row r="44" spans="2:8">
      <c r="B44" s="326"/>
      <c r="C44" s="326"/>
      <c r="D44" s="326"/>
      <c r="E44" s="326"/>
      <c r="F44" s="23"/>
      <c r="G44" s="251"/>
      <c r="H44" s="326"/>
    </row>
    <row r="45" spans="2:8">
      <c r="B45" s="326"/>
      <c r="C45" s="326"/>
      <c r="D45" s="326"/>
      <c r="E45" s="326"/>
      <c r="F45" s="23"/>
      <c r="G45" s="243"/>
      <c r="H45" s="326"/>
    </row>
    <row r="48" spans="2:8" ht="14.25" customHeight="1">
      <c r="B48" s="326"/>
      <c r="C48" s="326"/>
      <c r="D48" s="326"/>
      <c r="E48" s="326"/>
      <c r="F48" s="23"/>
      <c r="G48" s="326"/>
      <c r="H48" s="326"/>
    </row>
  </sheetData>
  <mergeCells count="4">
    <mergeCell ref="B1:H1"/>
    <mergeCell ref="B2:H2"/>
    <mergeCell ref="B3:H3"/>
    <mergeCell ref="B4:H4"/>
  </mergeCells>
  <printOptions horizontalCentered="1"/>
  <pageMargins left="0.7" right="0.7" top="0.75" bottom="0.75" header="0.3" footer="0.3"/>
  <pageSetup scale="97"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Q47"/>
  <sheetViews>
    <sheetView zoomScale="65" workbookViewId="0">
      <selection activeCell="I68" sqref="I68"/>
    </sheetView>
  </sheetViews>
  <sheetFormatPr baseColWidth="10" defaultColWidth="9.1640625" defaultRowHeight="13"/>
  <cols>
    <col min="1" max="1" width="5.5" style="316" bestFit="1" customWidth="1"/>
    <col min="2" max="2" width="3" style="316" customWidth="1"/>
    <col min="3" max="3" width="42.1640625" style="316" bestFit="1" customWidth="1"/>
    <col min="4" max="15" width="13" style="316" customWidth="1"/>
    <col min="16" max="16" width="13.83203125" style="316" customWidth="1"/>
    <col min="17" max="16384" width="9.1640625" style="316"/>
  </cols>
  <sheetData>
    <row r="1" spans="1:17">
      <c r="A1" s="609" t="s">
        <v>22</v>
      </c>
      <c r="B1" s="609"/>
      <c r="C1" s="609"/>
      <c r="D1" s="609"/>
      <c r="E1" s="609"/>
      <c r="F1" s="609"/>
      <c r="G1" s="609"/>
      <c r="H1" s="609"/>
      <c r="I1" s="609"/>
      <c r="J1" s="609"/>
      <c r="K1" s="609"/>
      <c r="L1" s="609"/>
      <c r="M1" s="609"/>
      <c r="N1" s="609"/>
      <c r="O1" s="609"/>
      <c r="P1" s="609"/>
      <c r="Q1" s="315"/>
    </row>
    <row r="2" spans="1:17">
      <c r="A2" s="616" t="str">
        <f>'Rate Change Calc'!A2:E2</f>
        <v>2016 Gas Decoupling Filing</v>
      </c>
      <c r="B2" s="616"/>
      <c r="C2" s="616"/>
      <c r="D2" s="616"/>
      <c r="E2" s="616"/>
      <c r="F2" s="616"/>
      <c r="G2" s="616"/>
      <c r="H2" s="616"/>
      <c r="I2" s="616"/>
      <c r="J2" s="616"/>
      <c r="K2" s="616"/>
      <c r="L2" s="616"/>
      <c r="M2" s="616"/>
      <c r="N2" s="616"/>
      <c r="O2" s="616"/>
      <c r="P2" s="616"/>
      <c r="Q2" s="315"/>
    </row>
    <row r="3" spans="1:17">
      <c r="A3" s="609" t="s">
        <v>357</v>
      </c>
      <c r="B3" s="609"/>
      <c r="C3" s="609"/>
      <c r="D3" s="609"/>
      <c r="E3" s="609"/>
      <c r="F3" s="609"/>
      <c r="G3" s="609"/>
      <c r="H3" s="609"/>
      <c r="I3" s="609"/>
      <c r="J3" s="609"/>
      <c r="K3" s="609"/>
      <c r="L3" s="609"/>
      <c r="M3" s="609"/>
      <c r="N3" s="609"/>
      <c r="O3" s="609"/>
      <c r="P3" s="609"/>
      <c r="Q3" s="315"/>
    </row>
    <row r="4" spans="1:17">
      <c r="A4" s="616" t="str">
        <f>'Rate Change Calc'!A4:E4</f>
        <v>Proposed Effective May 1, 2016</v>
      </c>
      <c r="B4" s="616"/>
      <c r="C4" s="616"/>
      <c r="D4" s="616"/>
      <c r="E4" s="616"/>
      <c r="F4" s="616"/>
      <c r="G4" s="616"/>
      <c r="H4" s="616"/>
      <c r="I4" s="616"/>
      <c r="J4" s="616"/>
      <c r="K4" s="616"/>
      <c r="L4" s="616"/>
      <c r="M4" s="616"/>
      <c r="N4" s="616"/>
      <c r="O4" s="616"/>
      <c r="P4" s="616"/>
      <c r="Q4" s="315"/>
    </row>
    <row r="5" spans="1:17">
      <c r="A5" s="609"/>
      <c r="B5" s="609"/>
      <c r="C5" s="609"/>
      <c r="D5" s="609"/>
      <c r="E5" s="609"/>
      <c r="F5" s="609"/>
      <c r="G5" s="609"/>
      <c r="H5" s="609"/>
      <c r="I5" s="609"/>
      <c r="J5" s="609"/>
      <c r="K5" s="609"/>
      <c r="L5" s="609"/>
      <c r="M5" s="609"/>
      <c r="N5" s="609"/>
      <c r="O5" s="609"/>
      <c r="P5" s="609"/>
      <c r="Q5" s="315"/>
    </row>
    <row r="6" spans="1:17">
      <c r="A6" s="315"/>
      <c r="B6" s="315"/>
      <c r="C6" s="315"/>
      <c r="D6" s="315"/>
      <c r="E6" s="315"/>
      <c r="F6" s="315"/>
      <c r="G6" s="315"/>
      <c r="H6" s="315"/>
      <c r="I6" s="315"/>
      <c r="J6" s="315"/>
      <c r="K6" s="315"/>
      <c r="L6" s="315"/>
      <c r="M6" s="315"/>
      <c r="N6" s="314"/>
      <c r="O6" s="314"/>
      <c r="P6" s="314"/>
      <c r="Q6" s="315"/>
    </row>
    <row r="7" spans="1:17" ht="28">
      <c r="A7" s="289" t="s">
        <v>26</v>
      </c>
      <c r="B7" s="289"/>
      <c r="C7" s="227"/>
      <c r="D7" s="310">
        <v>42005</v>
      </c>
      <c r="E7" s="310">
        <f>EDATE(D7,1)</f>
        <v>42036</v>
      </c>
      <c r="F7" s="310">
        <f t="shared" ref="F7:O7" si="0">EDATE(E7,1)</f>
        <v>42064</v>
      </c>
      <c r="G7" s="310">
        <f t="shared" si="0"/>
        <v>42095</v>
      </c>
      <c r="H7" s="310">
        <f t="shared" si="0"/>
        <v>42125</v>
      </c>
      <c r="I7" s="310">
        <f t="shared" si="0"/>
        <v>42156</v>
      </c>
      <c r="J7" s="310">
        <f t="shared" si="0"/>
        <v>42186</v>
      </c>
      <c r="K7" s="310">
        <f t="shared" si="0"/>
        <v>42217</v>
      </c>
      <c r="L7" s="310">
        <f t="shared" si="0"/>
        <v>42248</v>
      </c>
      <c r="M7" s="310">
        <f t="shared" si="0"/>
        <v>42278</v>
      </c>
      <c r="N7" s="310">
        <f t="shared" si="0"/>
        <v>42309</v>
      </c>
      <c r="O7" s="310">
        <f t="shared" si="0"/>
        <v>42339</v>
      </c>
      <c r="P7" s="310" t="s">
        <v>143</v>
      </c>
      <c r="Q7" s="315"/>
    </row>
    <row r="8" spans="1:17">
      <c r="A8" s="315"/>
      <c r="B8" s="315"/>
      <c r="C8" s="392" t="s">
        <v>30</v>
      </c>
      <c r="D8" s="392" t="s">
        <v>31</v>
      </c>
      <c r="E8" s="392" t="s">
        <v>32</v>
      </c>
      <c r="F8" s="392" t="s">
        <v>33</v>
      </c>
      <c r="G8" s="392" t="s">
        <v>145</v>
      </c>
      <c r="H8" s="392" t="s">
        <v>291</v>
      </c>
      <c r="I8" s="392" t="s">
        <v>292</v>
      </c>
      <c r="J8" s="392" t="s">
        <v>293</v>
      </c>
      <c r="K8" s="392" t="s">
        <v>294</v>
      </c>
      <c r="L8" s="392" t="s">
        <v>358</v>
      </c>
      <c r="M8" s="392" t="s">
        <v>359</v>
      </c>
      <c r="N8" s="392" t="s">
        <v>360</v>
      </c>
      <c r="O8" s="392" t="s">
        <v>361</v>
      </c>
      <c r="P8" s="392" t="s">
        <v>362</v>
      </c>
      <c r="Q8" s="315"/>
    </row>
    <row r="9" spans="1:17">
      <c r="A9" s="392">
        <v>1</v>
      </c>
      <c r="B9" s="392"/>
      <c r="C9" s="228"/>
      <c r="D9" s="228"/>
      <c r="E9" s="228"/>
      <c r="F9" s="228"/>
      <c r="G9" s="228"/>
      <c r="H9" s="228"/>
      <c r="I9" s="228"/>
      <c r="J9" s="392"/>
      <c r="K9" s="392"/>
      <c r="L9" s="392"/>
      <c r="M9" s="392"/>
      <c r="N9" s="315"/>
      <c r="O9" s="315"/>
      <c r="P9" s="315"/>
      <c r="Q9" s="315"/>
    </row>
    <row r="10" spans="1:17">
      <c r="A10" s="392">
        <f t="shared" ref="A10:A31" si="1">A9+1</f>
        <v>2</v>
      </c>
      <c r="B10" s="294" t="s">
        <v>28</v>
      </c>
      <c r="J10" s="229"/>
      <c r="K10" s="290"/>
      <c r="L10" s="285"/>
      <c r="M10" s="285"/>
      <c r="N10" s="315"/>
      <c r="O10" s="315"/>
      <c r="P10" s="315"/>
      <c r="Q10" s="315"/>
    </row>
    <row r="11" spans="1:17">
      <c r="A11" s="392">
        <f t="shared" si="1"/>
        <v>3</v>
      </c>
      <c r="B11" s="392"/>
      <c r="C11" s="315" t="s">
        <v>363</v>
      </c>
      <c r="D11" s="408">
        <f>'JPG-5'!D23</f>
        <v>42.799182690487896</v>
      </c>
      <c r="E11" s="408">
        <f>'JPG-5'!E23</f>
        <v>39.70782616122748</v>
      </c>
      <c r="F11" s="408">
        <f>'JPG-5'!F23</f>
        <v>33.714262864894437</v>
      </c>
      <c r="G11" s="408">
        <f>'JPG-5'!G23</f>
        <v>24.112127958205001</v>
      </c>
      <c r="H11" s="408">
        <f>'JPG-5'!H23</f>
        <v>15.095061563614649</v>
      </c>
      <c r="I11" s="408">
        <f>'JPG-5'!I23</f>
        <v>9.7460302149585782</v>
      </c>
      <c r="J11" s="408">
        <f>'JPG-5'!J23</f>
        <v>7.7017651249677312</v>
      </c>
      <c r="K11" s="408">
        <f>'JPG-5'!K23</f>
        <v>7.1146295382972529</v>
      </c>
      <c r="L11" s="408">
        <f>'JPG-5'!L23</f>
        <v>9.8563102466510095</v>
      </c>
      <c r="M11" s="408">
        <f>'JPG-5'!M23</f>
        <v>20.631045928283985</v>
      </c>
      <c r="N11" s="408">
        <f>'JPG-5'!N23</f>
        <v>34.736566679833096</v>
      </c>
      <c r="O11" s="408">
        <f>'JPG-5'!O23</f>
        <v>43.705191028578788</v>
      </c>
      <c r="P11" s="409">
        <f>SUM(D11:O11)</f>
        <v>288.9199999999999</v>
      </c>
      <c r="Q11" s="315"/>
    </row>
    <row r="12" spans="1:17">
      <c r="A12" s="392">
        <f t="shared" si="1"/>
        <v>4</v>
      </c>
      <c r="B12" s="392"/>
      <c r="C12" s="315" t="s">
        <v>364</v>
      </c>
      <c r="D12" s="408">
        <f>'JPG-5'!D32</f>
        <v>46.938076378609985</v>
      </c>
      <c r="E12" s="408">
        <f>'JPG-5'!E32</f>
        <v>43.547770308204839</v>
      </c>
      <c r="F12" s="408">
        <f>'JPG-5'!F32</f>
        <v>36.974599651704466</v>
      </c>
      <c r="G12" s="408">
        <f>'JPG-5'!G32</f>
        <v>26.443890574681014</v>
      </c>
      <c r="H12" s="408">
        <f>'JPG-5'!H32</f>
        <v>16.554829042804023</v>
      </c>
      <c r="I12" s="408">
        <f>'JPG-5'!I32</f>
        <v>10.68851977679557</v>
      </c>
      <c r="J12" s="408">
        <f>'JPG-5'!J32</f>
        <v>8.4465640921268026</v>
      </c>
      <c r="K12" s="408">
        <f>'JPG-5'!K32</f>
        <v>7.8026495760240486</v>
      </c>
      <c r="L12" s="408">
        <f>'JPG-5'!L32</f>
        <v>10.809464435670218</v>
      </c>
      <c r="M12" s="408">
        <f>'JPG-5'!M32</f>
        <v>22.62617061067446</v>
      </c>
      <c r="N12" s="408">
        <f>'JPG-5'!N32</f>
        <v>38.095765326636844</v>
      </c>
      <c r="O12" s="408">
        <f>'JPG-5'!O32</f>
        <v>47.93170022606769</v>
      </c>
      <c r="P12" s="409">
        <f>SUM(D12:O12)</f>
        <v>316.8599999999999</v>
      </c>
      <c r="Q12" s="315"/>
    </row>
    <row r="13" spans="1:17">
      <c r="A13" s="392">
        <f t="shared" si="1"/>
        <v>5</v>
      </c>
      <c r="B13" s="392"/>
      <c r="C13" s="315" t="s">
        <v>365</v>
      </c>
      <c r="D13" s="412">
        <f t="shared" ref="D13:I13" si="2">D12-D11</f>
        <v>4.1388936881220886</v>
      </c>
      <c r="E13" s="412">
        <f t="shared" si="2"/>
        <v>3.8399441469773592</v>
      </c>
      <c r="F13" s="412">
        <f t="shared" si="2"/>
        <v>3.2603367868100293</v>
      </c>
      <c r="G13" s="412">
        <f t="shared" si="2"/>
        <v>2.3317626164760128</v>
      </c>
      <c r="H13" s="412">
        <f t="shared" si="2"/>
        <v>1.4597674791893738</v>
      </c>
      <c r="I13" s="412">
        <f t="shared" si="2"/>
        <v>0.94248956183699129</v>
      </c>
      <c r="J13" s="412">
        <f>J12-J11</f>
        <v>0.74479896715907135</v>
      </c>
      <c r="K13" s="412">
        <f t="shared" ref="K13:N13" si="3">K12-K11</f>
        <v>0.68802003772679576</v>
      </c>
      <c r="L13" s="412">
        <f t="shared" si="3"/>
        <v>0.95315418901920879</v>
      </c>
      <c r="M13" s="412">
        <f t="shared" si="3"/>
        <v>1.9951246823904754</v>
      </c>
      <c r="N13" s="412">
        <f t="shared" si="3"/>
        <v>3.3591986468037476</v>
      </c>
      <c r="O13" s="412">
        <f>O12-O11</f>
        <v>4.2265091974889017</v>
      </c>
      <c r="P13" s="412">
        <f>SUM(D13:O13)</f>
        <v>27.940000000000055</v>
      </c>
      <c r="Q13" s="315"/>
    </row>
    <row r="14" spans="1:17">
      <c r="A14" s="392">
        <f t="shared" si="1"/>
        <v>6</v>
      </c>
      <c r="B14" s="392"/>
      <c r="C14" s="315"/>
      <c r="D14" s="315"/>
      <c r="E14" s="315"/>
      <c r="F14" s="315"/>
      <c r="G14" s="315"/>
      <c r="H14" s="315"/>
      <c r="I14" s="315"/>
      <c r="J14" s="229"/>
      <c r="K14" s="229"/>
      <c r="L14" s="285"/>
      <c r="M14" s="285"/>
      <c r="N14" s="315"/>
      <c r="O14" s="315"/>
      <c r="P14" s="315"/>
      <c r="Q14" s="315"/>
    </row>
    <row r="15" spans="1:17">
      <c r="A15" s="392">
        <f t="shared" si="1"/>
        <v>7</v>
      </c>
      <c r="B15" s="392"/>
      <c r="C15" s="315" t="s">
        <v>366</v>
      </c>
      <c r="D15" s="410">
        <f>'Res Deferral Calc 2015'!C9</f>
        <v>734851</v>
      </c>
      <c r="E15" s="410">
        <f>'Res Deferral Calc 2015'!D9</f>
        <v>735897</v>
      </c>
      <c r="F15" s="410">
        <f>'Res Deferral Calc 2015'!E9</f>
        <v>736498</v>
      </c>
      <c r="G15" s="410">
        <f>'Res Deferral Calc 2015'!F9</f>
        <v>736746</v>
      </c>
      <c r="H15" s="410">
        <f>'Res Deferral Calc 2015'!G9</f>
        <v>736564</v>
      </c>
      <c r="I15" s="410">
        <f>'Res Deferral Calc 2015'!H9</f>
        <v>736636</v>
      </c>
      <c r="J15" s="410">
        <f>'Res Deferral Calc 2015'!I9</f>
        <v>736444</v>
      </c>
      <c r="K15" s="410">
        <f>'Res Deferral Calc 2015'!J9</f>
        <v>736388</v>
      </c>
      <c r="L15" s="410">
        <f>'Res Deferral Calc 2015'!K9</f>
        <v>736870</v>
      </c>
      <c r="M15" s="410">
        <f>'Res Deferral Calc 2015'!L9</f>
        <v>738347</v>
      </c>
      <c r="N15" s="410">
        <f>'Res Deferral Calc 2015'!M9</f>
        <v>740333</v>
      </c>
      <c r="O15" s="410">
        <f>'Res Deferral Calc 2015'!N9</f>
        <v>742494</v>
      </c>
      <c r="P15" s="315"/>
      <c r="Q15" s="315"/>
    </row>
    <row r="16" spans="1:17">
      <c r="A16" s="392">
        <f t="shared" si="1"/>
        <v>8</v>
      </c>
      <c r="B16" s="392"/>
      <c r="C16" s="315"/>
      <c r="D16" s="315"/>
      <c r="E16" s="315"/>
      <c r="F16" s="315"/>
      <c r="G16" s="315"/>
      <c r="H16" s="315"/>
      <c r="I16" s="315"/>
      <c r="J16" s="229"/>
      <c r="K16" s="229"/>
      <c r="L16" s="285"/>
      <c r="M16" s="285"/>
      <c r="N16" s="315"/>
      <c r="O16" s="315"/>
      <c r="P16" s="315"/>
      <c r="Q16" s="315"/>
    </row>
    <row r="17" spans="1:17">
      <c r="A17" s="392">
        <f t="shared" si="1"/>
        <v>9</v>
      </c>
      <c r="B17" s="392"/>
      <c r="C17" s="315" t="s">
        <v>367</v>
      </c>
      <c r="D17" s="413">
        <f t="shared" ref="D17:O17" si="4">D15*D13</f>
        <v>3041470.1656102049</v>
      </c>
      <c r="E17" s="413">
        <f t="shared" si="4"/>
        <v>2825803.3779281978</v>
      </c>
      <c r="F17" s="413">
        <f t="shared" si="4"/>
        <v>2401231.522812013</v>
      </c>
      <c r="G17" s="413">
        <f t="shared" si="4"/>
        <v>1717916.7806382366</v>
      </c>
      <c r="H17" s="413">
        <f t="shared" si="4"/>
        <v>1075212.1735416418</v>
      </c>
      <c r="I17" s="413">
        <f t="shared" si="4"/>
        <v>694271.74087335391</v>
      </c>
      <c r="J17" s="413">
        <f t="shared" si="4"/>
        <v>548502.73057049513</v>
      </c>
      <c r="K17" s="413">
        <f t="shared" si="4"/>
        <v>506649.69954155968</v>
      </c>
      <c r="L17" s="413">
        <f t="shared" si="4"/>
        <v>702350.72726258438</v>
      </c>
      <c r="M17" s="413">
        <f t="shared" si="4"/>
        <v>1473094.3238689604</v>
      </c>
      <c r="N17" s="413">
        <f t="shared" si="4"/>
        <v>2486925.6117841587</v>
      </c>
      <c r="O17" s="413">
        <f t="shared" si="4"/>
        <v>3138157.7200803244</v>
      </c>
      <c r="P17" s="414">
        <f>SUM(D17:O17)</f>
        <v>20611586.574511729</v>
      </c>
      <c r="Q17" s="315"/>
    </row>
    <row r="18" spans="1:17">
      <c r="A18" s="392">
        <f t="shared" si="1"/>
        <v>10</v>
      </c>
      <c r="B18" s="392"/>
      <c r="C18" s="315"/>
      <c r="D18" s="315"/>
      <c r="E18" s="315"/>
      <c r="F18" s="315"/>
      <c r="G18" s="315"/>
      <c r="H18" s="315"/>
      <c r="I18" s="315"/>
      <c r="J18" s="407"/>
      <c r="K18" s="407"/>
      <c r="L18" s="407"/>
      <c r="M18" s="407"/>
      <c r="N18" s="407"/>
      <c r="O18" s="407"/>
      <c r="P18" s="285"/>
      <c r="Q18" s="315"/>
    </row>
    <row r="19" spans="1:17">
      <c r="A19" s="392">
        <f t="shared" si="1"/>
        <v>11</v>
      </c>
      <c r="B19" s="392"/>
      <c r="C19" s="315"/>
      <c r="D19" s="315"/>
      <c r="E19" s="315"/>
      <c r="F19" s="315"/>
      <c r="G19" s="315"/>
      <c r="H19" s="315"/>
      <c r="I19" s="315"/>
      <c r="J19" s="407"/>
      <c r="K19" s="407"/>
      <c r="L19" s="407"/>
      <c r="M19" s="407"/>
      <c r="N19" s="407"/>
      <c r="O19" s="407"/>
      <c r="P19" s="285"/>
      <c r="Q19" s="315"/>
    </row>
    <row r="20" spans="1:17">
      <c r="A20" s="392">
        <f t="shared" si="1"/>
        <v>12</v>
      </c>
      <c r="B20" s="294" t="s">
        <v>144</v>
      </c>
      <c r="J20" s="229"/>
      <c r="K20" s="290"/>
      <c r="L20" s="285"/>
      <c r="M20" s="285"/>
      <c r="N20" s="315"/>
      <c r="O20" s="315"/>
      <c r="P20" s="315"/>
      <c r="Q20" s="315"/>
    </row>
    <row r="21" spans="1:17">
      <c r="A21" s="392">
        <f t="shared" si="1"/>
        <v>13</v>
      </c>
      <c r="B21" s="392"/>
      <c r="C21" s="315" t="s">
        <v>363</v>
      </c>
      <c r="D21" s="408">
        <f>'JPG-5'!D42</f>
        <v>181.0049568858405</v>
      </c>
      <c r="E21" s="408">
        <f>'JPG-5'!E42</f>
        <v>168.47628173081591</v>
      </c>
      <c r="F21" s="408">
        <f>'JPG-5'!F42</f>
        <v>151.50871240802911</v>
      </c>
      <c r="G21" s="408">
        <f>'JPG-5'!G42</f>
        <v>116.26277068434021</v>
      </c>
      <c r="H21" s="408">
        <f>'JPG-5'!H42</f>
        <v>87.044654591987324</v>
      </c>
      <c r="I21" s="408">
        <f>'JPG-5'!I42</f>
        <v>67.459733091348312</v>
      </c>
      <c r="J21" s="408">
        <f>'JPG-5'!J42</f>
        <v>60.363894966631008</v>
      </c>
      <c r="K21" s="408">
        <f>'JPG-5'!K42</f>
        <v>56.872254641683099</v>
      </c>
      <c r="L21" s="408">
        <f>'JPG-5'!L42</f>
        <v>62.967341472293846</v>
      </c>
      <c r="M21" s="408">
        <f>'JPG-5'!M42</f>
        <v>99.078320859983279</v>
      </c>
      <c r="N21" s="408">
        <f>'JPG-5'!N42</f>
        <v>148.69368900575878</v>
      </c>
      <c r="O21" s="408">
        <f>'JPG-5'!O42</f>
        <v>183.8673896612886</v>
      </c>
      <c r="P21" s="409">
        <f>SUM(D21:O21)</f>
        <v>1383.6000000000001</v>
      </c>
      <c r="Q21" s="315"/>
    </row>
    <row r="22" spans="1:17">
      <c r="A22" s="392">
        <f t="shared" si="1"/>
        <v>14</v>
      </c>
      <c r="B22" s="392"/>
      <c r="C22" s="315" t="s">
        <v>364</v>
      </c>
      <c r="D22" s="408">
        <f>'JPG-5'!D51</f>
        <v>197.68865315040483</v>
      </c>
      <c r="E22" s="408">
        <f>'JPG-5'!E51</f>
        <v>184.00517751654226</v>
      </c>
      <c r="F22" s="408">
        <f>'JPG-5'!F51</f>
        <v>165.4736633283789</v>
      </c>
      <c r="G22" s="408">
        <f>'JPG-5'!G51</f>
        <v>126.97901175500651</v>
      </c>
      <c r="H22" s="408">
        <f>'JPG-5'!H51</f>
        <v>95.067786132979037</v>
      </c>
      <c r="I22" s="408">
        <f>'JPG-5'!I51</f>
        <v>73.677671629321466</v>
      </c>
      <c r="J22" s="408">
        <f>'JPG-5'!J51</f>
        <v>65.927791703472906</v>
      </c>
      <c r="K22" s="408">
        <f>'JPG-5'!K51</f>
        <v>62.114317835130514</v>
      </c>
      <c r="L22" s="408">
        <f>'JPG-5'!L51</f>
        <v>68.771204624911391</v>
      </c>
      <c r="M22" s="408">
        <f>'JPG-5'!M51</f>
        <v>108.2106266270212</v>
      </c>
      <c r="N22" s="408">
        <f>'JPG-5'!N51</f>
        <v>162.39917191910399</v>
      </c>
      <c r="O22" s="408">
        <f>'JPG-5'!O51</f>
        <v>200.81492377772696</v>
      </c>
      <c r="P22" s="409">
        <f>SUM(D22:O22)</f>
        <v>1511.1299999999997</v>
      </c>
      <c r="Q22" s="315"/>
    </row>
    <row r="23" spans="1:17">
      <c r="A23" s="392">
        <f t="shared" si="1"/>
        <v>15</v>
      </c>
      <c r="B23" s="392"/>
      <c r="C23" s="315" t="s">
        <v>365</v>
      </c>
      <c r="D23" s="412">
        <f t="shared" ref="D23:I23" si="5">D22-D21</f>
        <v>16.683696264564333</v>
      </c>
      <c r="E23" s="412">
        <f t="shared" si="5"/>
        <v>15.528895785726348</v>
      </c>
      <c r="F23" s="412">
        <f t="shared" si="5"/>
        <v>13.964950920349793</v>
      </c>
      <c r="G23" s="412">
        <f t="shared" si="5"/>
        <v>10.7162410706663</v>
      </c>
      <c r="H23" s="412">
        <f t="shared" si="5"/>
        <v>8.023131540991713</v>
      </c>
      <c r="I23" s="412">
        <f t="shared" si="5"/>
        <v>6.2179385379731542</v>
      </c>
      <c r="J23" s="412">
        <f>J22-J21</f>
        <v>5.5638967368418975</v>
      </c>
      <c r="K23" s="412">
        <f t="shared" ref="K23:O23" si="6">K22-K21</f>
        <v>5.2420631934474144</v>
      </c>
      <c r="L23" s="412">
        <f t="shared" si="6"/>
        <v>5.803863152617545</v>
      </c>
      <c r="M23" s="412">
        <f t="shared" si="6"/>
        <v>9.13230576703792</v>
      </c>
      <c r="N23" s="412">
        <f t="shared" si="6"/>
        <v>13.705482913345207</v>
      </c>
      <c r="O23" s="412">
        <f t="shared" si="6"/>
        <v>16.947534116438362</v>
      </c>
      <c r="P23" s="412">
        <f>SUM(D23:O23)</f>
        <v>127.52999999999999</v>
      </c>
      <c r="Q23" s="315"/>
    </row>
    <row r="24" spans="1:17">
      <c r="A24" s="392">
        <f t="shared" si="1"/>
        <v>16</v>
      </c>
      <c r="B24" s="392"/>
      <c r="C24" s="315"/>
      <c r="D24" s="315"/>
      <c r="E24" s="315"/>
      <c r="F24" s="315"/>
      <c r="G24" s="315"/>
      <c r="H24" s="315"/>
      <c r="I24" s="315"/>
      <c r="J24" s="229"/>
      <c r="K24" s="229"/>
      <c r="L24" s="285"/>
      <c r="M24" s="285"/>
      <c r="N24" s="315"/>
      <c r="O24" s="315"/>
      <c r="P24" s="315"/>
      <c r="Q24" s="315"/>
    </row>
    <row r="25" spans="1:17">
      <c r="A25" s="392">
        <f t="shared" si="1"/>
        <v>17</v>
      </c>
      <c r="B25" s="392"/>
      <c r="C25" s="315" t="s">
        <v>366</v>
      </c>
      <c r="D25" s="410">
        <f>'Non-Res Deferral Calc 2015'!C9</f>
        <v>57457</v>
      </c>
      <c r="E25" s="410">
        <f>'Non-Res Deferral Calc 2015'!D9</f>
        <v>57483</v>
      </c>
      <c r="F25" s="410">
        <f>'Non-Res Deferral Calc 2015'!E9</f>
        <v>57471</v>
      </c>
      <c r="G25" s="410">
        <f>'Non-Res Deferral Calc 2015'!F9</f>
        <v>57411</v>
      </c>
      <c r="H25" s="410">
        <f>'Non-Res Deferral Calc 2015'!G9</f>
        <v>57394</v>
      </c>
      <c r="I25" s="410">
        <f>'Non-Res Deferral Calc 2015'!H9</f>
        <v>57394</v>
      </c>
      <c r="J25" s="410">
        <f>'Non-Res Deferral Calc 2015'!I9</f>
        <v>57312</v>
      </c>
      <c r="K25" s="410">
        <f>'Non-Res Deferral Calc 2015'!J9</f>
        <v>57243</v>
      </c>
      <c r="L25" s="410">
        <f>'Non-Res Deferral Calc 2015'!K9</f>
        <v>57228</v>
      </c>
      <c r="M25" s="410">
        <f>'Non-Res Deferral Calc 2015'!L9</f>
        <v>57238</v>
      </c>
      <c r="N25" s="410">
        <f>'Non-Res Deferral Calc 2015'!M9</f>
        <v>57388</v>
      </c>
      <c r="O25" s="410">
        <f>'Non-Res Deferral Calc 2015'!N9</f>
        <v>57540</v>
      </c>
      <c r="P25" s="315"/>
      <c r="Q25" s="315"/>
    </row>
    <row r="26" spans="1:17">
      <c r="A26" s="392">
        <f t="shared" si="1"/>
        <v>18</v>
      </c>
      <c r="B26" s="392"/>
      <c r="C26" s="315"/>
      <c r="D26" s="315"/>
      <c r="E26" s="315"/>
      <c r="F26" s="315"/>
      <c r="G26" s="315"/>
      <c r="H26" s="315"/>
      <c r="I26" s="315"/>
      <c r="J26" s="229"/>
      <c r="K26" s="229"/>
      <c r="L26" s="285"/>
      <c r="M26" s="285"/>
      <c r="N26" s="315"/>
      <c r="O26" s="315"/>
      <c r="P26" s="315"/>
      <c r="Q26" s="315"/>
    </row>
    <row r="27" spans="1:17">
      <c r="A27" s="392">
        <f t="shared" si="1"/>
        <v>19</v>
      </c>
      <c r="B27" s="392"/>
      <c r="C27" s="315" t="s">
        <v>368</v>
      </c>
      <c r="D27" s="413">
        <f t="shared" ref="D27:I27" si="7">D25*D23</f>
        <v>958595.1362730728</v>
      </c>
      <c r="E27" s="413">
        <f t="shared" si="7"/>
        <v>892647.51645090769</v>
      </c>
      <c r="F27" s="413">
        <f t="shared" si="7"/>
        <v>802579.69434342289</v>
      </c>
      <c r="G27" s="413">
        <f t="shared" si="7"/>
        <v>615230.11610802298</v>
      </c>
      <c r="H27" s="413">
        <f t="shared" si="7"/>
        <v>460479.61166367837</v>
      </c>
      <c r="I27" s="413">
        <f t="shared" si="7"/>
        <v>356872.36444843124</v>
      </c>
      <c r="J27" s="413">
        <f>J25*J23</f>
        <v>318878.04978188284</v>
      </c>
      <c r="K27" s="413">
        <f t="shared" ref="K27:O27" si="8">K25*K23</f>
        <v>300071.42338251037</v>
      </c>
      <c r="L27" s="413">
        <f t="shared" si="8"/>
        <v>332143.48049799685</v>
      </c>
      <c r="M27" s="413">
        <f t="shared" si="8"/>
        <v>522714.91749371646</v>
      </c>
      <c r="N27" s="413">
        <f t="shared" si="8"/>
        <v>786530.25343105476</v>
      </c>
      <c r="O27" s="413">
        <f t="shared" si="8"/>
        <v>975161.11305986333</v>
      </c>
      <c r="P27" s="414">
        <f>SUM(D27:O27)</f>
        <v>7321903.6769345617</v>
      </c>
      <c r="Q27" s="315"/>
    </row>
    <row r="28" spans="1:17">
      <c r="A28" s="392">
        <f t="shared" si="1"/>
        <v>20</v>
      </c>
      <c r="B28" s="392"/>
      <c r="C28" s="315"/>
      <c r="D28" s="315"/>
      <c r="E28" s="315"/>
      <c r="F28" s="315"/>
      <c r="G28" s="315"/>
      <c r="H28" s="315"/>
      <c r="I28" s="315"/>
      <c r="J28" s="407"/>
      <c r="K28" s="407"/>
      <c r="L28" s="407"/>
      <c r="M28" s="407"/>
      <c r="N28" s="407"/>
      <c r="O28" s="407"/>
      <c r="P28" s="285"/>
      <c r="Q28" s="315"/>
    </row>
    <row r="29" spans="1:17" ht="14" thickBot="1">
      <c r="A29" s="392">
        <f t="shared" si="1"/>
        <v>21</v>
      </c>
      <c r="B29" s="411" t="s">
        <v>369</v>
      </c>
      <c r="C29" s="315"/>
      <c r="D29" s="415">
        <f t="shared" ref="D29:O29" si="9">D17+D27</f>
        <v>4000065.3018832775</v>
      </c>
      <c r="E29" s="415">
        <f t="shared" si="9"/>
        <v>3718450.8943791054</v>
      </c>
      <c r="F29" s="415">
        <f t="shared" si="9"/>
        <v>3203811.2171554361</v>
      </c>
      <c r="G29" s="415">
        <f t="shared" si="9"/>
        <v>2333146.8967462596</v>
      </c>
      <c r="H29" s="415">
        <f t="shared" si="9"/>
        <v>1535691.7852053202</v>
      </c>
      <c r="I29" s="415">
        <f t="shared" si="9"/>
        <v>1051144.1053217852</v>
      </c>
      <c r="J29" s="415">
        <f t="shared" si="9"/>
        <v>867380.78035237803</v>
      </c>
      <c r="K29" s="415">
        <f t="shared" si="9"/>
        <v>806721.12292407011</v>
      </c>
      <c r="L29" s="415">
        <f t="shared" si="9"/>
        <v>1034494.2077605813</v>
      </c>
      <c r="M29" s="415">
        <f t="shared" si="9"/>
        <v>1995809.241362677</v>
      </c>
      <c r="N29" s="415">
        <f t="shared" si="9"/>
        <v>3273455.8652152135</v>
      </c>
      <c r="O29" s="415">
        <f t="shared" si="9"/>
        <v>4113318.8331401879</v>
      </c>
      <c r="P29" s="416">
        <f>SUM(D29:O29)</f>
        <v>27933490.251446288</v>
      </c>
      <c r="Q29" s="315"/>
    </row>
    <row r="30" spans="1:17" ht="14" thickTop="1">
      <c r="A30" s="392">
        <f t="shared" si="1"/>
        <v>22</v>
      </c>
      <c r="B30" s="392"/>
      <c r="C30" s="315"/>
      <c r="D30" s="315"/>
      <c r="E30" s="315"/>
      <c r="F30" s="315"/>
      <c r="G30" s="315"/>
      <c r="H30" s="315"/>
      <c r="I30" s="315"/>
      <c r="J30" s="407"/>
      <c r="K30" s="407"/>
      <c r="L30" s="407"/>
      <c r="M30" s="407"/>
      <c r="N30" s="407"/>
      <c r="O30" s="407"/>
      <c r="P30" s="285"/>
      <c r="Q30" s="315"/>
    </row>
    <row r="31" spans="1:17">
      <c r="A31" s="392">
        <f t="shared" si="1"/>
        <v>23</v>
      </c>
      <c r="B31" s="411" t="s">
        <v>370</v>
      </c>
      <c r="C31" s="315"/>
      <c r="D31" s="315"/>
      <c r="E31" s="315"/>
      <c r="F31" s="315"/>
      <c r="G31" s="315"/>
      <c r="H31" s="315"/>
      <c r="I31" s="315"/>
      <c r="J31" s="407"/>
      <c r="K31" s="407"/>
      <c r="L31" s="407"/>
      <c r="M31" s="407"/>
      <c r="N31" s="407"/>
      <c r="O31" s="407"/>
      <c r="P31" s="285"/>
      <c r="Q31" s="315"/>
    </row>
    <row r="32" spans="1:17">
      <c r="A32" s="392"/>
      <c r="B32" s="392"/>
      <c r="C32" s="315"/>
      <c r="D32" s="315"/>
      <c r="E32" s="315"/>
      <c r="F32" s="315"/>
      <c r="G32" s="315"/>
      <c r="H32" s="315"/>
      <c r="I32" s="315"/>
      <c r="J32" s="407"/>
      <c r="K32" s="407"/>
      <c r="L32" s="407"/>
      <c r="M32" s="407"/>
      <c r="N32" s="407"/>
      <c r="O32" s="407"/>
      <c r="P32" s="285"/>
      <c r="Q32" s="315"/>
    </row>
    <row r="33" spans="1:17">
      <c r="A33" s="392"/>
      <c r="B33" s="392"/>
      <c r="C33" s="295"/>
      <c r="D33" s="295"/>
      <c r="E33" s="295"/>
      <c r="F33" s="295"/>
      <c r="G33" s="295"/>
      <c r="H33" s="295"/>
      <c r="I33" s="295"/>
      <c r="J33" s="392"/>
      <c r="K33" s="290"/>
      <c r="L33" s="285"/>
      <c r="M33" s="285"/>
      <c r="N33" s="315"/>
      <c r="O33" s="315"/>
      <c r="P33" s="315"/>
      <c r="Q33" s="315"/>
    </row>
    <row r="34" spans="1:17">
      <c r="A34" s="392"/>
      <c r="B34" s="392"/>
      <c r="C34" s="315"/>
      <c r="D34" s="315"/>
      <c r="E34" s="315"/>
      <c r="F34" s="315"/>
      <c r="G34" s="315"/>
      <c r="H34" s="315"/>
      <c r="I34" s="315"/>
      <c r="J34" s="311"/>
      <c r="K34" s="311"/>
      <c r="L34" s="311"/>
      <c r="M34" s="311"/>
      <c r="N34" s="311"/>
      <c r="O34" s="311"/>
      <c r="P34" s="315"/>
      <c r="Q34" s="315"/>
    </row>
    <row r="35" spans="1:17">
      <c r="A35" s="392"/>
      <c r="B35" s="392"/>
      <c r="C35" s="315"/>
      <c r="D35" s="315"/>
      <c r="E35" s="315"/>
      <c r="F35" s="315"/>
      <c r="G35" s="315"/>
      <c r="H35" s="315"/>
      <c r="I35" s="315"/>
      <c r="J35" s="311"/>
      <c r="K35" s="311"/>
      <c r="L35" s="311"/>
      <c r="M35" s="311"/>
      <c r="N35" s="311"/>
      <c r="O35" s="311"/>
      <c r="P35" s="315"/>
      <c r="Q35" s="315"/>
    </row>
    <row r="36" spans="1:17">
      <c r="A36" s="392"/>
      <c r="B36" s="392"/>
      <c r="C36" s="315"/>
      <c r="D36" s="315"/>
      <c r="E36" s="315"/>
      <c r="F36" s="315"/>
      <c r="G36" s="315"/>
      <c r="H36" s="315"/>
      <c r="I36" s="315"/>
      <c r="J36" s="311"/>
      <c r="K36" s="311"/>
      <c r="L36" s="311"/>
      <c r="M36" s="311"/>
      <c r="N36" s="311"/>
      <c r="O36" s="311"/>
      <c r="P36" s="315"/>
      <c r="Q36" s="315"/>
    </row>
    <row r="37" spans="1:17">
      <c r="A37" s="392"/>
      <c r="B37" s="392"/>
      <c r="C37" s="315"/>
      <c r="D37" s="315"/>
      <c r="E37" s="315"/>
      <c r="F37" s="315"/>
      <c r="G37" s="315"/>
      <c r="H37" s="315"/>
      <c r="I37" s="315"/>
      <c r="J37" s="311"/>
      <c r="K37" s="315"/>
      <c r="L37" s="285"/>
      <c r="M37" s="285"/>
      <c r="N37" s="315"/>
      <c r="O37" s="315"/>
      <c r="P37" s="315"/>
      <c r="Q37" s="315"/>
    </row>
    <row r="38" spans="1:17">
      <c r="A38" s="392"/>
      <c r="B38" s="392"/>
      <c r="C38" s="295"/>
      <c r="D38" s="295"/>
      <c r="E38" s="295"/>
      <c r="F38" s="295"/>
      <c r="G38" s="295"/>
      <c r="H38" s="295"/>
      <c r="I38" s="295"/>
      <c r="J38" s="315"/>
      <c r="K38" s="315"/>
      <c r="L38" s="285"/>
      <c r="M38" s="285"/>
      <c r="N38" s="315"/>
      <c r="O38" s="315"/>
      <c r="P38" s="315"/>
      <c r="Q38" s="315"/>
    </row>
    <row r="39" spans="1:17">
      <c r="A39" s="392"/>
      <c r="B39" s="392"/>
      <c r="C39" s="315"/>
      <c r="D39" s="315"/>
      <c r="E39" s="315"/>
      <c r="F39" s="315"/>
      <c r="G39" s="315"/>
      <c r="H39" s="315"/>
      <c r="I39" s="315"/>
      <c r="J39" s="285"/>
      <c r="K39" s="285"/>
      <c r="L39" s="285"/>
      <c r="M39" s="285"/>
      <c r="N39" s="285"/>
      <c r="O39" s="285"/>
      <c r="P39" s="285"/>
      <c r="Q39" s="315"/>
    </row>
    <row r="40" spans="1:17">
      <c r="A40" s="392"/>
      <c r="B40" s="392"/>
      <c r="C40" s="315"/>
      <c r="D40" s="315"/>
      <c r="E40" s="315"/>
      <c r="F40" s="315"/>
      <c r="G40" s="315"/>
      <c r="H40" s="315"/>
      <c r="I40" s="315"/>
      <c r="J40" s="285"/>
      <c r="K40" s="285"/>
      <c r="L40" s="285"/>
      <c r="M40" s="285"/>
      <c r="N40" s="285"/>
      <c r="O40" s="285"/>
      <c r="P40" s="285"/>
      <c r="Q40" s="315"/>
    </row>
    <row r="41" spans="1:17">
      <c r="A41" s="392"/>
      <c r="B41" s="392"/>
      <c r="C41" s="315"/>
      <c r="D41" s="315"/>
      <c r="E41" s="315"/>
      <c r="F41" s="315"/>
      <c r="G41" s="315"/>
      <c r="H41" s="315"/>
      <c r="I41" s="315"/>
      <c r="J41" s="285"/>
      <c r="K41" s="285"/>
      <c r="L41" s="285"/>
      <c r="M41" s="285"/>
      <c r="N41" s="285"/>
      <c r="O41" s="285"/>
      <c r="P41" s="285"/>
      <c r="Q41" s="315"/>
    </row>
    <row r="42" spans="1:17">
      <c r="A42" s="315"/>
      <c r="B42" s="315"/>
      <c r="C42" s="315"/>
      <c r="D42" s="315"/>
      <c r="E42" s="315"/>
      <c r="F42" s="315"/>
      <c r="G42" s="315"/>
      <c r="H42" s="315"/>
      <c r="I42" s="315"/>
      <c r="J42" s="315"/>
      <c r="K42" s="315"/>
      <c r="L42" s="315"/>
      <c r="M42" s="315"/>
      <c r="N42" s="315"/>
      <c r="O42" s="315"/>
      <c r="P42" s="315"/>
      <c r="Q42" s="315"/>
    </row>
    <row r="43" spans="1:17">
      <c r="C43" s="315"/>
      <c r="D43" s="315"/>
      <c r="E43" s="315"/>
      <c r="F43" s="315"/>
      <c r="G43" s="315"/>
      <c r="H43" s="315"/>
      <c r="I43" s="315"/>
      <c r="J43" s="315"/>
      <c r="K43" s="315"/>
      <c r="L43" s="315"/>
      <c r="M43" s="315"/>
      <c r="N43" s="315"/>
      <c r="O43" s="315"/>
      <c r="P43" s="315"/>
      <c r="Q43" s="315"/>
    </row>
    <row r="44" spans="1:17">
      <c r="A44" s="315"/>
      <c r="B44" s="315"/>
      <c r="C44" s="315"/>
      <c r="D44" s="315"/>
      <c r="E44" s="315"/>
      <c r="F44" s="315"/>
      <c r="G44" s="315"/>
      <c r="H44" s="315"/>
      <c r="I44" s="315"/>
      <c r="J44" s="315"/>
      <c r="K44" s="315"/>
      <c r="L44" s="315"/>
      <c r="M44" s="315"/>
      <c r="N44" s="315"/>
      <c r="O44" s="315"/>
      <c r="P44" s="315"/>
      <c r="Q44" s="315"/>
    </row>
    <row r="45" spans="1:17">
      <c r="A45" s="315"/>
      <c r="B45" s="315"/>
      <c r="C45" s="315"/>
      <c r="D45" s="315"/>
      <c r="E45" s="315"/>
      <c r="F45" s="315"/>
      <c r="G45" s="315"/>
      <c r="H45" s="315"/>
      <c r="I45" s="315"/>
      <c r="J45" s="315"/>
      <c r="K45" s="315"/>
      <c r="L45" s="315"/>
      <c r="M45" s="315"/>
      <c r="N45" s="315"/>
      <c r="O45" s="315"/>
      <c r="P45" s="315"/>
      <c r="Q45" s="315"/>
    </row>
    <row r="46" spans="1:17">
      <c r="A46" s="315"/>
      <c r="B46" s="315"/>
      <c r="C46" s="315"/>
      <c r="D46" s="315"/>
      <c r="E46" s="315"/>
      <c r="F46" s="315"/>
      <c r="G46" s="315"/>
      <c r="H46" s="315"/>
      <c r="I46" s="315"/>
      <c r="J46" s="315"/>
      <c r="K46" s="315"/>
      <c r="L46" s="315"/>
      <c r="M46" s="315"/>
      <c r="N46" s="315"/>
      <c r="O46" s="315"/>
      <c r="P46" s="315"/>
      <c r="Q46" s="315"/>
    </row>
    <row r="47" spans="1:17">
      <c r="A47" s="315"/>
      <c r="B47" s="315"/>
      <c r="C47" s="315"/>
      <c r="D47" s="315"/>
      <c r="E47" s="315"/>
      <c r="F47" s="315"/>
      <c r="G47" s="315"/>
      <c r="H47" s="315"/>
      <c r="I47" s="315"/>
      <c r="J47" s="315"/>
      <c r="K47" s="315"/>
      <c r="L47" s="315"/>
      <c r="M47" s="315"/>
      <c r="N47" s="315"/>
      <c r="O47" s="315"/>
      <c r="P47" s="315"/>
      <c r="Q47" s="315"/>
    </row>
  </sheetData>
  <mergeCells count="5">
    <mergeCell ref="A1:P1"/>
    <mergeCell ref="A2:P2"/>
    <mergeCell ref="A3:P3"/>
    <mergeCell ref="A4:P4"/>
    <mergeCell ref="A5:P5"/>
  </mergeCells>
  <printOptions horizontalCentered="1"/>
  <pageMargins left="0.7" right="0.7" top="0.75" bottom="0.75" header="0.3" footer="0.3"/>
  <pageSetup scale="99" fitToWidth="2"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5:C20"/>
  <sheetViews>
    <sheetView view="pageLayout" topLeftCell="A20" zoomScaleNormal="59" workbookViewId="0">
      <selection activeCell="I68" sqref="I68"/>
    </sheetView>
  </sheetViews>
  <sheetFormatPr baseColWidth="10" defaultColWidth="8.83203125" defaultRowHeight="15"/>
  <cols>
    <col min="1" max="1" width="46.83203125" bestFit="1" customWidth="1"/>
    <col min="2" max="2" width="26.1640625" bestFit="1" customWidth="1"/>
    <col min="3" max="3" width="19.5" bestFit="1" customWidth="1"/>
  </cols>
  <sheetData>
    <row r="5" spans="1:3">
      <c r="A5" s="484" t="s">
        <v>12</v>
      </c>
      <c r="B5" s="486" t="s">
        <v>1</v>
      </c>
      <c r="C5" s="486" t="s">
        <v>2</v>
      </c>
    </row>
    <row r="6" spans="1:3">
      <c r="A6" t="s">
        <v>13</v>
      </c>
      <c r="C6" s="482">
        <f>('2013 ERF - Rate Design'!J23+'2013 ERF - Rate Design'!J28+'2013 ERF - Rate Design'!J38+'2013 ERF - Rate Design'!J50+'2013 ERF - Rate Design'!J88+'2013 ERF - Rate Design'!J100)/'JPG-4'!E12/12</f>
        <v>37.683173266031979</v>
      </c>
    </row>
    <row r="7" spans="1:3">
      <c r="A7" t="s">
        <v>4</v>
      </c>
      <c r="C7" s="483">
        <v>12</v>
      </c>
    </row>
    <row r="8" spans="1:3">
      <c r="A8" t="s">
        <v>14</v>
      </c>
      <c r="C8" s="491">
        <f>C6*C7</f>
        <v>452.19807919238372</v>
      </c>
    </row>
    <row r="10" spans="1:3">
      <c r="A10" t="s">
        <v>6</v>
      </c>
      <c r="B10" s="492">
        <f>'JPG-5'!P53</f>
        <v>1555.5200000000002</v>
      </c>
      <c r="C10" s="492">
        <f>B10</f>
        <v>1555.5200000000002</v>
      </c>
    </row>
    <row r="12" spans="1:3" ht="16" thickBot="1">
      <c r="A12" s="490" t="s">
        <v>7</v>
      </c>
      <c r="B12" s="487">
        <f>B8+B10</f>
        <v>1555.5200000000002</v>
      </c>
      <c r="C12" s="487">
        <f t="shared" ref="C12" si="0">C8+C10</f>
        <v>2007.7180791923838</v>
      </c>
    </row>
    <row r="13" spans="1:3" ht="16" thickTop="1"/>
    <row r="14" spans="1:3">
      <c r="A14" t="s">
        <v>8</v>
      </c>
      <c r="B14" s="541">
        <f>Return</f>
        <v>0.1077</v>
      </c>
      <c r="C14" s="541">
        <f>Return</f>
        <v>0.1077</v>
      </c>
    </row>
    <row r="16" spans="1:3" ht="16" thickBot="1">
      <c r="A16" s="489" t="s">
        <v>15</v>
      </c>
      <c r="B16" s="488">
        <f t="shared" ref="B16" si="1">B12/B14</f>
        <v>14443.082636954505</v>
      </c>
      <c r="C16" s="488">
        <f>C12/C14</f>
        <v>18641.764895008204</v>
      </c>
    </row>
    <row r="17" spans="1:3">
      <c r="A17" s="551"/>
      <c r="B17" s="554"/>
      <c r="C17" s="553"/>
    </row>
    <row r="18" spans="1:3">
      <c r="A18" t="s">
        <v>10</v>
      </c>
      <c r="B18" s="483">
        <f>'Rate Change Calc'!E16/'JPG-4'!E12</f>
        <v>5390.832307608197</v>
      </c>
      <c r="C18" s="483">
        <f>B18</f>
        <v>5390.832307608197</v>
      </c>
    </row>
    <row r="19" spans="1:3">
      <c r="B19" s="551"/>
    </row>
    <row r="20" spans="1:3" ht="16" thickBot="1">
      <c r="A20" s="489" t="s">
        <v>11</v>
      </c>
      <c r="B20" s="488">
        <f>ROUND(B16/B18,2)</f>
        <v>2.68</v>
      </c>
      <c r="C20" s="488">
        <f>ROUND(C16/C18,2)</f>
        <v>3.46</v>
      </c>
    </row>
  </sheetData>
  <pageMargins left="0.7" right="0.7" top="0.75" bottom="0.75" header="0.3" footer="0.3"/>
  <pageSetup orientation="landscape"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I68" sqref="I68"/>
    </sheetView>
  </sheetViews>
  <sheetFormatPr baseColWidth="10" defaultColWidth="8.83203125" defaultRowHeight="15"/>
  <sheetData/>
  <printOptions horizontalCentered="1"/>
  <pageMargins left="0.7" right="0.7" top="0.75" bottom="0.75" header="0.3" footer="0.3"/>
  <pageSetup orientation="landscape" blackAndWhite="1"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Y85"/>
  <sheetViews>
    <sheetView tabSelected="1" workbookViewId="0">
      <selection activeCell="I68" sqref="I68"/>
    </sheetView>
  </sheetViews>
  <sheetFormatPr baseColWidth="10" defaultColWidth="9.1640625" defaultRowHeight="13"/>
  <cols>
    <col min="1" max="1" width="5" style="316" customWidth="1"/>
    <col min="2" max="2" width="26.5" style="316" customWidth="1"/>
    <col min="3" max="3" width="8.83203125" style="316" bestFit="1" customWidth="1"/>
    <col min="4" max="4" width="14" style="316" bestFit="1" customWidth="1"/>
    <col min="5" max="5" width="15.5" style="316" bestFit="1" customWidth="1"/>
    <col min="6" max="6" width="14.1640625" style="316" bestFit="1" customWidth="1"/>
    <col min="7" max="13" width="11.83203125" style="316" customWidth="1"/>
    <col min="14" max="14" width="14.33203125" style="316" customWidth="1"/>
    <col min="15" max="15" width="16.1640625" style="316" customWidth="1"/>
    <col min="16" max="16" width="13.5" style="316" bestFit="1" customWidth="1"/>
    <col min="17" max="17" width="9.1640625" style="316"/>
    <col min="18" max="18" width="9.33203125" style="316" bestFit="1" customWidth="1"/>
    <col min="19" max="19" width="15" style="316" bestFit="1" customWidth="1"/>
    <col min="20" max="20" width="13.5" style="316" bestFit="1" customWidth="1"/>
    <col min="21" max="16384" width="9.1640625" style="316"/>
  </cols>
  <sheetData>
    <row r="1" spans="1:19" ht="15" customHeight="1">
      <c r="A1" s="626" t="s">
        <v>22</v>
      </c>
      <c r="B1" s="626"/>
      <c r="C1" s="626"/>
      <c r="D1" s="626"/>
      <c r="E1" s="626"/>
      <c r="F1" s="626"/>
      <c r="G1" s="626"/>
      <c r="H1" s="626"/>
      <c r="I1" s="626"/>
      <c r="J1" s="626"/>
      <c r="K1" s="626"/>
      <c r="L1" s="626"/>
      <c r="M1" s="626"/>
      <c r="N1" s="626"/>
      <c r="O1" s="626"/>
      <c r="P1" s="598"/>
      <c r="Q1" s="259"/>
      <c r="R1" s="259"/>
      <c r="S1" s="259"/>
    </row>
    <row r="2" spans="1:19" ht="15" customHeight="1">
      <c r="A2" s="619" t="str">
        <f>'Rate Change Calc'!A2:E2</f>
        <v>2016 Gas Decoupling Filing</v>
      </c>
      <c r="B2" s="619"/>
      <c r="C2" s="619"/>
      <c r="D2" s="619"/>
      <c r="E2" s="619"/>
      <c r="F2" s="619"/>
      <c r="G2" s="619"/>
      <c r="H2" s="619"/>
      <c r="I2" s="619"/>
      <c r="J2" s="619"/>
      <c r="K2" s="619"/>
      <c r="L2" s="619"/>
      <c r="M2" s="619"/>
      <c r="N2" s="619"/>
      <c r="O2" s="619"/>
      <c r="P2" s="598"/>
      <c r="Q2" s="259"/>
      <c r="R2" s="259"/>
      <c r="S2" s="259"/>
    </row>
    <row r="3" spans="1:19" ht="15" customHeight="1">
      <c r="A3" s="626" t="s">
        <v>371</v>
      </c>
      <c r="B3" s="626"/>
      <c r="C3" s="626"/>
      <c r="D3" s="626"/>
      <c r="E3" s="626"/>
      <c r="F3" s="626"/>
      <c r="G3" s="626"/>
      <c r="H3" s="626"/>
      <c r="I3" s="626"/>
      <c r="J3" s="626"/>
      <c r="K3" s="626"/>
      <c r="L3" s="626"/>
      <c r="M3" s="626"/>
      <c r="N3" s="626"/>
      <c r="O3" s="626"/>
      <c r="P3" s="598"/>
      <c r="Q3" s="259"/>
      <c r="R3" s="259"/>
      <c r="S3" s="259"/>
    </row>
    <row r="4" spans="1:19" ht="15" customHeight="1">
      <c r="A4" s="619" t="str">
        <f>'Rate Change Calc'!A4:E4</f>
        <v>Proposed Effective May 1, 2016</v>
      </c>
      <c r="B4" s="619"/>
      <c r="C4" s="619"/>
      <c r="D4" s="619"/>
      <c r="E4" s="619"/>
      <c r="F4" s="619"/>
      <c r="G4" s="619"/>
      <c r="H4" s="619"/>
      <c r="I4" s="619"/>
      <c r="J4" s="619"/>
      <c r="K4" s="619"/>
      <c r="L4" s="619"/>
      <c r="M4" s="619"/>
      <c r="N4" s="619"/>
      <c r="O4" s="619"/>
      <c r="P4" s="598"/>
      <c r="Q4" s="259"/>
      <c r="R4" s="259"/>
      <c r="S4" s="259"/>
    </row>
    <row r="5" spans="1:19" ht="15" customHeight="1">
      <c r="A5" s="597"/>
      <c r="B5" s="597"/>
      <c r="C5" s="597"/>
      <c r="D5" s="597"/>
      <c r="E5" s="597"/>
      <c r="F5" s="597"/>
      <c r="G5" s="597"/>
      <c r="H5" s="597"/>
      <c r="I5" s="597"/>
      <c r="J5" s="597"/>
      <c r="K5" s="597"/>
      <c r="L5" s="597"/>
      <c r="M5" s="597"/>
      <c r="N5" s="597"/>
      <c r="O5" s="597"/>
      <c r="P5" s="598"/>
      <c r="Q5" s="259"/>
      <c r="R5" s="259"/>
      <c r="S5" s="259"/>
    </row>
    <row r="6" spans="1:19">
      <c r="O6" s="598"/>
    </row>
    <row r="7" spans="1:19">
      <c r="D7" s="598" t="s">
        <v>126</v>
      </c>
      <c r="E7" s="598" t="str">
        <f>+D7</f>
        <v>UG-130138</v>
      </c>
      <c r="F7" s="598" t="s">
        <v>372</v>
      </c>
      <c r="G7" s="598" t="s">
        <v>278</v>
      </c>
      <c r="H7" s="598" t="s">
        <v>373</v>
      </c>
      <c r="I7" s="598" t="s">
        <v>374</v>
      </c>
      <c r="J7" s="598" t="s">
        <v>143</v>
      </c>
      <c r="K7" s="598" t="s">
        <v>375</v>
      </c>
      <c r="L7" s="598" t="s">
        <v>375</v>
      </c>
      <c r="M7" s="598" t="s">
        <v>143</v>
      </c>
      <c r="N7" s="598" t="s">
        <v>276</v>
      </c>
      <c r="O7" s="262" t="s">
        <v>325</v>
      </c>
      <c r="P7" s="262"/>
    </row>
    <row r="8" spans="1:19">
      <c r="A8" s="598" t="s">
        <v>168</v>
      </c>
      <c r="C8" s="598" t="s">
        <v>277</v>
      </c>
      <c r="D8" s="263" t="s">
        <v>281</v>
      </c>
      <c r="E8" s="263" t="s">
        <v>376</v>
      </c>
      <c r="F8" s="263" t="s">
        <v>377</v>
      </c>
      <c r="G8" s="262" t="s">
        <v>378</v>
      </c>
      <c r="H8" s="262" t="s">
        <v>379</v>
      </c>
      <c r="I8" s="262" t="s">
        <v>380</v>
      </c>
      <c r="J8" s="262" t="s">
        <v>381</v>
      </c>
      <c r="K8" s="262" t="s">
        <v>382</v>
      </c>
      <c r="L8" s="262" t="s">
        <v>383</v>
      </c>
      <c r="M8" s="262" t="s">
        <v>384</v>
      </c>
      <c r="N8" s="598" t="s">
        <v>281</v>
      </c>
      <c r="O8" s="263" t="s">
        <v>282</v>
      </c>
      <c r="P8" s="263"/>
    </row>
    <row r="9" spans="1:19">
      <c r="A9" s="600" t="s">
        <v>285</v>
      </c>
      <c r="B9" s="600" t="s">
        <v>385</v>
      </c>
      <c r="C9" s="600" t="s">
        <v>287</v>
      </c>
      <c r="D9" s="264" t="s">
        <v>386</v>
      </c>
      <c r="E9" s="264" t="s">
        <v>387</v>
      </c>
      <c r="F9" s="264" t="s">
        <v>388</v>
      </c>
      <c r="G9" s="600" t="s">
        <v>182</v>
      </c>
      <c r="H9" s="600" t="s">
        <v>277</v>
      </c>
      <c r="I9" s="600" t="s">
        <v>277</v>
      </c>
      <c r="J9" s="600" t="s">
        <v>277</v>
      </c>
      <c r="K9" s="600" t="s">
        <v>277</v>
      </c>
      <c r="L9" s="600" t="s">
        <v>277</v>
      </c>
      <c r="M9" s="600" t="s">
        <v>277</v>
      </c>
      <c r="N9" s="600" t="s">
        <v>325</v>
      </c>
      <c r="O9" s="264" t="s">
        <v>289</v>
      </c>
      <c r="P9" s="263"/>
    </row>
    <row r="10" spans="1:19">
      <c r="B10" s="262" t="s">
        <v>30</v>
      </c>
      <c r="C10" s="262" t="s">
        <v>31</v>
      </c>
      <c r="D10" s="392" t="s">
        <v>32</v>
      </c>
      <c r="E10" s="392" t="s">
        <v>33</v>
      </c>
      <c r="F10" s="392" t="s">
        <v>145</v>
      </c>
      <c r="G10" s="392" t="s">
        <v>291</v>
      </c>
      <c r="H10" s="392" t="s">
        <v>292</v>
      </c>
      <c r="I10" s="392" t="s">
        <v>293</v>
      </c>
      <c r="J10" s="392" t="s">
        <v>294</v>
      </c>
      <c r="K10" s="392" t="s">
        <v>358</v>
      </c>
      <c r="L10" s="392" t="s">
        <v>359</v>
      </c>
      <c r="M10" s="392" t="s">
        <v>360</v>
      </c>
      <c r="N10" s="392" t="s">
        <v>361</v>
      </c>
      <c r="O10" s="392" t="s">
        <v>362</v>
      </c>
      <c r="P10" s="263"/>
    </row>
    <row r="11" spans="1:19">
      <c r="A11" s="598">
        <v>1</v>
      </c>
      <c r="B11" s="262"/>
      <c r="C11" s="262"/>
      <c r="D11" s="392"/>
      <c r="E11" s="392"/>
      <c r="F11" s="392"/>
      <c r="G11" s="392"/>
      <c r="H11" s="392"/>
      <c r="I11" s="392"/>
      <c r="J11" s="392"/>
      <c r="K11" s="262"/>
      <c r="L11" s="262"/>
      <c r="M11" s="262"/>
      <c r="N11" s="262"/>
      <c r="O11" s="263"/>
      <c r="P11" s="263"/>
    </row>
    <row r="12" spans="1:19" ht="15">
      <c r="A12" s="598">
        <f>A11+1</f>
        <v>2</v>
      </c>
      <c r="B12" s="334" t="s">
        <v>28</v>
      </c>
      <c r="C12" s="598" t="s">
        <v>295</v>
      </c>
      <c r="D12" s="348">
        <f>'2013 ERF - Rate Design'!E10+'2013 ERF - Rate Design'!E15</f>
        <v>559688037</v>
      </c>
      <c r="E12" s="349">
        <f>'2013 ERF - Rate Design'!J11+'2013 ERF - Rate Design'!J16</f>
        <v>291431765.88</v>
      </c>
      <c r="F12" s="349">
        <f>'Sch 142 Revenue Over ERF'!H12</f>
        <v>21995739.850000001</v>
      </c>
      <c r="G12" s="269">
        <f>(E12+F12)/D12</f>
        <v>0.56000393971257956</v>
      </c>
      <c r="H12" s="461">
        <v>2.5250000000000002E-2</v>
      </c>
      <c r="I12" s="461">
        <v>8.1799999999999998E-3</v>
      </c>
      <c r="J12" s="269">
        <f>SUM(H12:I12)</f>
        <v>3.3430000000000001E-2</v>
      </c>
      <c r="K12" s="461">
        <v>0.44113000000000002</v>
      </c>
      <c r="L12" s="461">
        <v>-3.601E-2</v>
      </c>
      <c r="M12" s="269">
        <f t="shared" ref="M12:M24" si="0">SUM(K12:L12)</f>
        <v>0.40512000000000004</v>
      </c>
      <c r="N12" s="453">
        <f>SUM('F2015 Forecast'!P8,'F2015 Forecast'!P13)</f>
        <v>619598267.08000016</v>
      </c>
      <c r="O12" s="471">
        <f>SUM(G12,J12,M12)*N12</f>
        <v>618702290.63182127</v>
      </c>
      <c r="P12" s="178"/>
      <c r="R12" s="247"/>
      <c r="S12" s="176"/>
    </row>
    <row r="13" spans="1:19">
      <c r="A13" s="598">
        <f t="shared" ref="A13:A31" si="1">A12+1</f>
        <v>3</v>
      </c>
      <c r="B13" s="334"/>
      <c r="C13" s="598"/>
      <c r="D13" s="348"/>
      <c r="E13" s="349"/>
      <c r="F13" s="349"/>
      <c r="G13" s="269"/>
      <c r="H13" s="461"/>
      <c r="I13" s="461"/>
      <c r="J13" s="269"/>
      <c r="K13" s="462"/>
      <c r="L13" s="461"/>
      <c r="M13" s="269"/>
      <c r="N13" s="469"/>
      <c r="O13" s="471"/>
      <c r="P13" s="265"/>
    </row>
    <row r="14" spans="1:19" ht="15">
      <c r="A14" s="598">
        <f t="shared" si="1"/>
        <v>4</v>
      </c>
      <c r="B14" s="336" t="s">
        <v>329</v>
      </c>
      <c r="C14" s="598">
        <v>31</v>
      </c>
      <c r="D14" s="350">
        <f>'2013 ERF - Rate Design'!E24</f>
        <v>202815693</v>
      </c>
      <c r="E14" s="349">
        <f>'2013 ERF - Rate Design'!J25</f>
        <v>83796596.120000005</v>
      </c>
      <c r="F14" s="349">
        <f>'Sch 142 Revenue Over ERF'!H14</f>
        <v>6151399.9699999997</v>
      </c>
      <c r="G14" s="269">
        <f>(E14+F14)/D14</f>
        <v>0.44349623423863954</v>
      </c>
      <c r="H14" s="461">
        <v>2.3879999999999998E-2</v>
      </c>
      <c r="I14" s="461">
        <v>8.0700000000000008E-3</v>
      </c>
      <c r="J14" s="269">
        <f t="shared" ref="J14:J27" si="2">SUM(H14:I14)</f>
        <v>3.1949999999999999E-2</v>
      </c>
      <c r="K14" s="461">
        <v>0.43520999999999999</v>
      </c>
      <c r="L14" s="461">
        <v>-3.644E-2</v>
      </c>
      <c r="M14" s="269">
        <f t="shared" si="0"/>
        <v>0.39876999999999996</v>
      </c>
      <c r="N14" s="453">
        <f>'F2015 Forecast'!P9</f>
        <v>226133776</v>
      </c>
      <c r="O14" s="471">
        <f>SUM(G14,J14,M14)*N14</f>
        <v>197689818.08888403</v>
      </c>
      <c r="P14" s="178"/>
      <c r="R14" s="337"/>
      <c r="S14" s="176"/>
    </row>
    <row r="15" spans="1:19" ht="15">
      <c r="A15" s="598">
        <f t="shared" si="1"/>
        <v>5</v>
      </c>
      <c r="B15" s="336"/>
      <c r="C15" s="598"/>
      <c r="D15" s="350"/>
      <c r="E15" s="349"/>
      <c r="F15" s="349"/>
      <c r="G15" s="269"/>
      <c r="H15" s="461"/>
      <c r="I15" s="461"/>
      <c r="J15" s="269"/>
      <c r="K15" s="461"/>
      <c r="L15" s="461"/>
      <c r="M15" s="269"/>
      <c r="N15" s="453"/>
      <c r="O15" s="471"/>
      <c r="P15" s="178"/>
      <c r="R15" s="337"/>
      <c r="S15" s="176"/>
    </row>
    <row r="16" spans="1:19" ht="15">
      <c r="A16" s="598">
        <f t="shared" si="1"/>
        <v>6</v>
      </c>
      <c r="B16" s="336" t="s">
        <v>389</v>
      </c>
      <c r="C16" s="598" t="s">
        <v>241</v>
      </c>
      <c r="D16" s="350"/>
      <c r="E16" s="349"/>
      <c r="F16" s="349"/>
      <c r="G16" s="269">
        <f>G14</f>
        <v>0.44349623423863954</v>
      </c>
      <c r="H16" s="461">
        <v>2.3879999999999998E-2</v>
      </c>
      <c r="I16" s="461">
        <v>8.0700000000000008E-3</v>
      </c>
      <c r="J16" s="269">
        <f t="shared" si="2"/>
        <v>3.1949999999999999E-2</v>
      </c>
      <c r="K16" s="461"/>
      <c r="L16" s="461"/>
      <c r="M16" s="269"/>
      <c r="N16" s="453">
        <f>'F2015 Forecast'!P10</f>
        <v>26158</v>
      </c>
      <c r="O16" s="471">
        <f>SUM(G16,J16,M16)*N16</f>
        <v>12436.722595214333</v>
      </c>
      <c r="P16" s="178"/>
      <c r="R16" s="337"/>
      <c r="S16" s="176"/>
    </row>
    <row r="17" spans="1:19">
      <c r="A17" s="598">
        <f t="shared" si="1"/>
        <v>7</v>
      </c>
      <c r="B17" s="338"/>
      <c r="C17" s="263"/>
      <c r="D17" s="350"/>
      <c r="E17" s="349"/>
      <c r="F17" s="349"/>
      <c r="G17" s="269"/>
      <c r="H17" s="461"/>
      <c r="I17" s="461"/>
      <c r="J17" s="269"/>
      <c r="K17" s="462"/>
      <c r="L17" s="461"/>
      <c r="M17" s="269"/>
      <c r="N17" s="453"/>
      <c r="O17" s="471"/>
      <c r="P17" s="178"/>
    </row>
    <row r="18" spans="1:19" ht="15">
      <c r="A18" s="598">
        <f t="shared" si="1"/>
        <v>8</v>
      </c>
      <c r="B18" s="334" t="s">
        <v>300</v>
      </c>
      <c r="C18" s="598">
        <v>41</v>
      </c>
      <c r="D18" s="348">
        <f>'2013 ERF - Rate Design'!E46</f>
        <v>77974027</v>
      </c>
      <c r="E18" s="349">
        <f>'2013 ERF - Rate Design'!J47</f>
        <v>17982696.650000002</v>
      </c>
      <c r="F18" s="349">
        <f>'Sch 142 Revenue Over ERF'!H21</f>
        <v>1217246.1499999999</v>
      </c>
      <c r="G18" s="269">
        <f>(E18+F18)/D18</f>
        <v>0.24623510595393516</v>
      </c>
      <c r="H18" s="461">
        <v>8.7899999999999992E-3</v>
      </c>
      <c r="I18" s="461">
        <v>3.9199999999999999E-3</v>
      </c>
      <c r="J18" s="269">
        <f t="shared" si="2"/>
        <v>1.2709999999999999E-2</v>
      </c>
      <c r="K18" s="461">
        <v>0.34828999999999999</v>
      </c>
      <c r="L18" s="461">
        <v>-4.283E-2</v>
      </c>
      <c r="M18" s="269">
        <f t="shared" si="0"/>
        <v>0.30546000000000001</v>
      </c>
      <c r="N18" s="453">
        <f>'F2015 Forecast'!P11</f>
        <v>72914572</v>
      </c>
      <c r="O18" s="471">
        <f t="shared" ref="O18:O19" si="3">SUM(G18,J18,M18)*N18</f>
        <v>41153356.735245839</v>
      </c>
      <c r="P18" s="178"/>
      <c r="R18" s="337"/>
      <c r="S18" s="176"/>
    </row>
    <row r="19" spans="1:19">
      <c r="A19" s="598">
        <f t="shared" si="1"/>
        <v>9</v>
      </c>
      <c r="B19" s="334" t="s">
        <v>390</v>
      </c>
      <c r="C19" s="598" t="s">
        <v>242</v>
      </c>
      <c r="D19" s="348">
        <f>'2013 ERF - Rate Design'!E58</f>
        <v>10889483</v>
      </c>
      <c r="E19" s="349">
        <f>'2013 ERF - Rate Design'!J60</f>
        <v>2137999.2400000002</v>
      </c>
      <c r="F19" s="349">
        <f>'Sch 142 Revenue Over ERF'!H29</f>
        <v>170537.08000000002</v>
      </c>
      <c r="G19" s="269">
        <f>(E19+F19)/D19</f>
        <v>0.21199687074216475</v>
      </c>
      <c r="H19" s="461">
        <v>8.7899999999999992E-3</v>
      </c>
      <c r="I19" s="461">
        <v>3.9199999999999999E-3</v>
      </c>
      <c r="J19" s="269">
        <f t="shared" si="2"/>
        <v>1.2709999999999999E-2</v>
      </c>
      <c r="K19" s="461"/>
      <c r="L19" s="461"/>
      <c r="M19" s="269"/>
      <c r="N19" s="453">
        <f>'F2015 Forecast'!P12</f>
        <v>23136584</v>
      </c>
      <c r="O19" s="471">
        <f t="shared" si="3"/>
        <v>5198949.3903032374</v>
      </c>
      <c r="P19" s="178"/>
      <c r="R19" s="337"/>
    </row>
    <row r="20" spans="1:19">
      <c r="A20" s="598">
        <f t="shared" si="1"/>
        <v>10</v>
      </c>
      <c r="B20" s="334"/>
      <c r="C20" s="598"/>
      <c r="D20" s="348"/>
      <c r="E20" s="349"/>
      <c r="F20" s="349"/>
      <c r="G20" s="269"/>
      <c r="H20" s="461"/>
      <c r="I20" s="461"/>
      <c r="J20" s="269"/>
      <c r="K20" s="461"/>
      <c r="L20" s="461"/>
      <c r="M20" s="269"/>
      <c r="N20" s="453"/>
      <c r="O20" s="471"/>
      <c r="P20" s="178"/>
      <c r="R20" s="337"/>
    </row>
    <row r="21" spans="1:19" ht="15">
      <c r="A21" s="598">
        <f t="shared" si="1"/>
        <v>11</v>
      </c>
      <c r="B21" s="334" t="s">
        <v>306</v>
      </c>
      <c r="C21" s="598">
        <v>85</v>
      </c>
      <c r="D21" s="348">
        <f>'2013 ERF - Rate Design'!E72</f>
        <v>17344756</v>
      </c>
      <c r="E21" s="349">
        <f>'2013 ERF - Rate Design'!J73</f>
        <v>1813582.88</v>
      </c>
      <c r="F21" s="349">
        <f>'Sch 142 Revenue Over ERF'!H41</f>
        <v>150339.01999999999</v>
      </c>
      <c r="G21" s="269">
        <f t="shared" ref="G21:G22" si="4">(E21+F21)/D21</f>
        <v>0.11322856891154882</v>
      </c>
      <c r="H21" s="461">
        <v>4.0099999999999997E-3</v>
      </c>
      <c r="I21" s="461">
        <v>1.8400000000000001E-3</v>
      </c>
      <c r="J21" s="269">
        <f t="shared" si="2"/>
        <v>5.8499999999999993E-3</v>
      </c>
      <c r="K21" s="461">
        <v>0.38141999999999998</v>
      </c>
      <c r="L21" s="461">
        <v>-4.0390000000000002E-2</v>
      </c>
      <c r="M21" s="269">
        <f t="shared" si="0"/>
        <v>0.34103</v>
      </c>
      <c r="N21" s="453">
        <f>'F2015 Forecast'!P14</f>
        <v>19100696</v>
      </c>
      <c r="O21" s="471">
        <f t="shared" ref="O21:O22" si="5">SUM(G21,J21,M21)*N21</f>
        <v>8788393.9017745443</v>
      </c>
      <c r="P21" s="178"/>
      <c r="R21" s="337"/>
      <c r="S21" s="176"/>
    </row>
    <row r="22" spans="1:19">
      <c r="A22" s="598">
        <f t="shared" si="1"/>
        <v>12</v>
      </c>
      <c r="B22" s="334" t="s">
        <v>391</v>
      </c>
      <c r="C22" s="598" t="s">
        <v>243</v>
      </c>
      <c r="D22" s="350">
        <f>'2013 ERF - Rate Design'!E84</f>
        <v>76567132</v>
      </c>
      <c r="E22" s="349">
        <f>'2013 ERF - Rate Design'!J85</f>
        <v>7201934.79</v>
      </c>
      <c r="F22" s="349">
        <f>'Sch 142 Revenue Over ERF'!H50</f>
        <v>566894.82999999996</v>
      </c>
      <c r="G22" s="269">
        <f t="shared" si="4"/>
        <v>0.10146428914171685</v>
      </c>
      <c r="H22" s="461">
        <v>4.0099999999999997E-3</v>
      </c>
      <c r="I22" s="461">
        <v>1.8400000000000001E-3</v>
      </c>
      <c r="J22" s="269">
        <f t="shared" si="2"/>
        <v>5.8499999999999993E-3</v>
      </c>
      <c r="K22" s="462"/>
      <c r="L22" s="461"/>
      <c r="M22" s="269"/>
      <c r="N22" s="453">
        <f>'F2015 Forecast'!P15</f>
        <v>87332084</v>
      </c>
      <c r="O22" s="471">
        <f t="shared" si="5"/>
        <v>9371980.5137247033</v>
      </c>
      <c r="P22" s="178"/>
    </row>
    <row r="23" spans="1:19">
      <c r="A23" s="598">
        <f t="shared" si="1"/>
        <v>13</v>
      </c>
      <c r="B23" s="334"/>
      <c r="C23" s="598"/>
      <c r="D23" s="351"/>
      <c r="E23" s="351"/>
      <c r="F23" s="351"/>
      <c r="G23" s="269"/>
      <c r="H23" s="461"/>
      <c r="I23" s="461"/>
      <c r="J23" s="269"/>
      <c r="K23" s="462"/>
      <c r="L23" s="461"/>
      <c r="M23" s="269"/>
      <c r="N23" s="453"/>
      <c r="O23" s="471"/>
      <c r="P23" s="178"/>
    </row>
    <row r="24" spans="1:19" ht="15">
      <c r="A24" s="598">
        <f t="shared" si="1"/>
        <v>14</v>
      </c>
      <c r="B24" s="259" t="s">
        <v>314</v>
      </c>
      <c r="C24" s="598">
        <v>86</v>
      </c>
      <c r="D24" s="348">
        <f>'2013 ERF - Rate Design'!E96</f>
        <v>12317849</v>
      </c>
      <c r="E24" s="349">
        <f>'2013 ERF - Rate Design'!J97</f>
        <v>2686369.4299999997</v>
      </c>
      <c r="F24" s="349">
        <f>'Sch 142 Revenue Over ERF'!H60</f>
        <v>207407.41</v>
      </c>
      <c r="G24" s="269">
        <f t="shared" ref="G24:G25" si="6">(E24+F24)/D24</f>
        <v>0.23492550038565985</v>
      </c>
      <c r="H24" s="461">
        <v>9.7599999999999996E-3</v>
      </c>
      <c r="I24" s="461">
        <v>3.6099999999999999E-3</v>
      </c>
      <c r="J24" s="269">
        <f t="shared" si="2"/>
        <v>1.337E-2</v>
      </c>
      <c r="K24" s="461">
        <v>0.38585999999999998</v>
      </c>
      <c r="L24" s="461">
        <v>-4.0070000000000001E-2</v>
      </c>
      <c r="M24" s="269">
        <f t="shared" si="0"/>
        <v>0.34578999999999999</v>
      </c>
      <c r="N24" s="453">
        <f>'F2015 Forecast'!P16</f>
        <v>9746828</v>
      </c>
      <c r="O24" s="471">
        <f t="shared" ref="O24:O25" si="7">SUM(G24,J24,M24)*N24</f>
        <v>5790449.1895529591</v>
      </c>
      <c r="P24" s="178"/>
      <c r="R24" s="337"/>
      <c r="S24" s="176"/>
    </row>
    <row r="25" spans="1:19" ht="15">
      <c r="A25" s="598">
        <f t="shared" si="1"/>
        <v>15</v>
      </c>
      <c r="B25" s="339" t="s">
        <v>392</v>
      </c>
      <c r="C25" s="262" t="s">
        <v>244</v>
      </c>
      <c r="D25" s="352">
        <f>'2013 ERF - Rate Design'!E107</f>
        <v>26573</v>
      </c>
      <c r="E25" s="353">
        <f>'2013 ERF - Rate Design'!J108</f>
        <v>9522.2800000000007</v>
      </c>
      <c r="F25" s="353">
        <f>'Sch 142 Revenue Over ERF'!H67</f>
        <v>402.82000000000005</v>
      </c>
      <c r="G25" s="269">
        <f t="shared" si="6"/>
        <v>0.37350317991946713</v>
      </c>
      <c r="H25" s="461">
        <v>9.7599999999999996E-3</v>
      </c>
      <c r="I25" s="461">
        <v>3.6099999999999999E-3</v>
      </c>
      <c r="J25" s="269">
        <f t="shared" si="2"/>
        <v>1.337E-2</v>
      </c>
      <c r="K25" s="463"/>
      <c r="L25" s="461"/>
      <c r="M25" s="269"/>
      <c r="N25" s="453">
        <f>'F2015 Forecast'!P17</f>
        <v>195995</v>
      </c>
      <c r="O25" s="471">
        <f t="shared" si="7"/>
        <v>75825.208898315963</v>
      </c>
      <c r="P25" s="178"/>
      <c r="R25" s="337"/>
      <c r="S25" s="176"/>
    </row>
    <row r="26" spans="1:19" ht="15">
      <c r="A26" s="598">
        <f t="shared" si="1"/>
        <v>16</v>
      </c>
      <c r="B26" s="339"/>
      <c r="C26" s="262"/>
      <c r="D26" s="17"/>
      <c r="E26" s="353"/>
      <c r="F26" s="353"/>
      <c r="G26" s="269"/>
      <c r="H26" s="461"/>
      <c r="I26" s="461"/>
      <c r="J26" s="269"/>
      <c r="K26" s="461"/>
      <c r="L26" s="461"/>
      <c r="M26" s="269"/>
      <c r="N26" s="453"/>
      <c r="O26" s="471"/>
      <c r="P26" s="178"/>
      <c r="S26" s="176"/>
    </row>
    <row r="27" spans="1:19">
      <c r="A27" s="598">
        <f t="shared" si="1"/>
        <v>17</v>
      </c>
      <c r="B27" s="339" t="s">
        <v>393</v>
      </c>
      <c r="C27" s="262">
        <v>87</v>
      </c>
      <c r="D27" s="17">
        <f>'2013 ERF - Rate Design'!E123</f>
        <v>26567234</v>
      </c>
      <c r="E27" s="353">
        <f>'2013 ERF - Rate Design'!J124</f>
        <v>1816224.1600000001</v>
      </c>
      <c r="F27" s="353">
        <f>'Sch 142 Revenue Over ERF'!H82</f>
        <v>123378.51</v>
      </c>
      <c r="G27" s="269">
        <f t="shared" ref="G27:G28" si="8">(E27+F27)/D27</f>
        <v>7.3007324360526205E-2</v>
      </c>
      <c r="H27" s="461">
        <v>3.0999999999999999E-3</v>
      </c>
      <c r="I27" s="461">
        <v>1.5499999999999999E-3</v>
      </c>
      <c r="J27" s="269">
        <f t="shared" si="2"/>
        <v>4.6499999999999996E-3</v>
      </c>
      <c r="K27" s="461">
        <v>0.37966</v>
      </c>
      <c r="L27" s="461">
        <v>-4.052E-2</v>
      </c>
      <c r="M27" s="269">
        <f>SUM(K27:L27)</f>
        <v>0.33914</v>
      </c>
      <c r="N27" s="453">
        <f>'F2015 Forecast'!P18</f>
        <v>23768329</v>
      </c>
      <c r="O27" s="471">
        <f t="shared" ref="O27:O28" si="9">SUM(G27,J27,M27)*N27</f>
        <v>9906575.931720702</v>
      </c>
      <c r="P27" s="178"/>
    </row>
    <row r="28" spans="1:19">
      <c r="A28" s="598">
        <f t="shared" si="1"/>
        <v>18</v>
      </c>
      <c r="B28" s="339" t="s">
        <v>394</v>
      </c>
      <c r="C28" s="262" t="s">
        <v>245</v>
      </c>
      <c r="D28" s="17">
        <f>'2013 ERF - Rate Design'!E138</f>
        <v>87780838</v>
      </c>
      <c r="E28" s="353">
        <f>'2013 ERF - Rate Design'!J139</f>
        <v>4233525.8900000006</v>
      </c>
      <c r="F28" s="353">
        <f>'Sch 142 Revenue Over ERF'!H94</f>
        <v>266723.77999999997</v>
      </c>
      <c r="G28" s="340">
        <f t="shared" si="8"/>
        <v>5.1266879794426214E-2</v>
      </c>
      <c r="H28" s="479">
        <v>3.0999999999999999E-3</v>
      </c>
      <c r="I28" s="479">
        <v>1.5499999999999999E-3</v>
      </c>
      <c r="J28" s="340">
        <f>SUM(H28:I28)</f>
        <v>4.6499999999999996E-3</v>
      </c>
      <c r="K28" s="35"/>
      <c r="L28" s="340"/>
      <c r="M28" s="340"/>
      <c r="N28" s="470">
        <f>'F2015 Forecast'!P19</f>
        <v>95525999</v>
      </c>
      <c r="O28" s="481">
        <f t="shared" si="9"/>
        <v>5341515.8033254789</v>
      </c>
      <c r="P28" s="178"/>
    </row>
    <row r="29" spans="1:19" ht="15">
      <c r="A29" s="598">
        <f t="shared" si="1"/>
        <v>19</v>
      </c>
      <c r="B29" s="341" t="s">
        <v>143</v>
      </c>
      <c r="C29" s="341"/>
      <c r="D29" s="342">
        <f>SUM(D12:D28)</f>
        <v>1071971622</v>
      </c>
      <c r="E29" s="342">
        <f>SUM(E12:E28)</f>
        <v>413110217.31999999</v>
      </c>
      <c r="F29" s="342">
        <f>SUM(F12:F28)</f>
        <v>30850069.419999998</v>
      </c>
      <c r="G29" s="269">
        <f>(E29+F29)/D29</f>
        <v>0.41415302199109894</v>
      </c>
      <c r="H29" s="269"/>
      <c r="I29" s="269"/>
      <c r="J29" s="269"/>
      <c r="K29" s="269"/>
      <c r="L29" s="269"/>
      <c r="M29" s="269"/>
      <c r="N29" s="469">
        <f>SUM(N12:N28)</f>
        <v>1177479288.0800002</v>
      </c>
      <c r="O29" s="471">
        <f>SUM(O12:O28)</f>
        <v>902031592.11784625</v>
      </c>
      <c r="P29" s="273"/>
      <c r="S29" s="176"/>
    </row>
    <row r="30" spans="1:19">
      <c r="A30" s="598">
        <f t="shared" si="1"/>
        <v>20</v>
      </c>
      <c r="B30" s="334"/>
      <c r="C30" s="334"/>
      <c r="D30" s="273"/>
      <c r="E30" s="343"/>
      <c r="F30" s="343"/>
      <c r="O30" s="472"/>
      <c r="P30" s="265"/>
    </row>
    <row r="31" spans="1:19">
      <c r="A31" s="598">
        <f t="shared" si="1"/>
        <v>21</v>
      </c>
      <c r="B31" s="334" t="s">
        <v>395</v>
      </c>
      <c r="C31" s="334" t="s">
        <v>396</v>
      </c>
      <c r="D31" s="352">
        <f>SUM('2013 ERF - Rate Design'!E142:E147,'2013 ERF - Rate Design'!E151:E157,'2013 ERF - Rate Design'!E161:E164)</f>
        <v>489205</v>
      </c>
      <c r="E31" s="354">
        <f>'2013 ERF - Rate Design'!J148+'2013 ERF - Rate Design'!J158+'2013 ERF - Rate Design'!J165</f>
        <v>7344936.4700000007</v>
      </c>
      <c r="F31" s="349">
        <f>'Sch 142 Revenue Over ERF'!H124</f>
        <v>670564.89000000013</v>
      </c>
      <c r="H31" s="480">
        <v>0.65</v>
      </c>
      <c r="O31" s="471">
        <f>(D31*H31)+E31+F31</f>
        <v>8333484.6100000013</v>
      </c>
      <c r="P31" s="265"/>
    </row>
    <row r="32" spans="1:19">
      <c r="A32" s="598"/>
      <c r="B32" s="334"/>
      <c r="C32" s="334"/>
      <c r="D32" s="273"/>
      <c r="E32" s="343"/>
      <c r="F32" s="343"/>
      <c r="P32" s="265"/>
    </row>
    <row r="33" spans="1:25" ht="27" customHeight="1">
      <c r="A33" s="598"/>
      <c r="B33" s="630" t="s">
        <v>397</v>
      </c>
      <c r="C33" s="630"/>
      <c r="D33" s="630"/>
      <c r="E33" s="630"/>
      <c r="F33" s="630"/>
      <c r="G33" s="630"/>
      <c r="H33" s="630"/>
      <c r="I33" s="630"/>
      <c r="J33" s="630"/>
      <c r="K33" s="630"/>
      <c r="L33" s="630"/>
      <c r="M33" s="630"/>
      <c r="N33" s="630"/>
      <c r="O33" s="630"/>
      <c r="P33" s="602"/>
      <c r="T33" s="265"/>
      <c r="U33" s="265"/>
      <c r="V33" s="265"/>
      <c r="W33" s="265"/>
      <c r="X33" s="265"/>
      <c r="Y33" s="265"/>
    </row>
    <row r="34" spans="1:25">
      <c r="A34" s="598"/>
      <c r="B34" s="315" t="s">
        <v>398</v>
      </c>
      <c r="C34" s="598"/>
      <c r="D34" s="263"/>
      <c r="E34" s="263"/>
      <c r="F34" s="263"/>
      <c r="G34" s="262"/>
      <c r="H34" s="262"/>
      <c r="I34" s="262"/>
      <c r="J34" s="262"/>
      <c r="K34" s="334"/>
      <c r="L34" s="334"/>
      <c r="M34" s="334"/>
      <c r="N34" s="334"/>
      <c r="O34" s="334"/>
      <c r="P34" s="334"/>
      <c r="T34" s="265"/>
      <c r="U34" s="265"/>
      <c r="V34" s="265"/>
      <c r="W34" s="265"/>
      <c r="X34" s="265"/>
      <c r="Y34" s="265"/>
    </row>
    <row r="35" spans="1:25">
      <c r="A35" s="598"/>
      <c r="B35" s="315"/>
      <c r="C35" s="334"/>
      <c r="D35" s="334"/>
      <c r="E35" s="334"/>
      <c r="F35" s="334"/>
      <c r="G35" s="334"/>
      <c r="H35" s="334"/>
      <c r="I35" s="334"/>
      <c r="J35" s="334"/>
      <c r="K35" s="334"/>
      <c r="L35" s="334"/>
      <c r="M35" s="334"/>
      <c r="N35" s="334"/>
      <c r="O35" s="334"/>
      <c r="P35" s="334"/>
      <c r="T35" s="265"/>
      <c r="U35" s="265"/>
      <c r="V35" s="265"/>
      <c r="W35" s="265"/>
      <c r="X35" s="265"/>
      <c r="Y35" s="265"/>
    </row>
    <row r="36" spans="1:25">
      <c r="B36" s="315"/>
      <c r="C36" s="334"/>
      <c r="D36" s="334"/>
      <c r="E36" s="334"/>
      <c r="F36" s="334"/>
      <c r="G36" s="334"/>
      <c r="H36" s="334"/>
      <c r="I36" s="334"/>
      <c r="J36" s="334"/>
      <c r="K36" s="334"/>
      <c r="L36" s="334"/>
      <c r="M36" s="334"/>
      <c r="N36" s="334"/>
      <c r="O36" s="334"/>
      <c r="P36" s="334"/>
      <c r="T36" s="265"/>
      <c r="U36" s="265"/>
      <c r="V36" s="265"/>
      <c r="W36" s="265"/>
      <c r="X36" s="265"/>
      <c r="Y36" s="265"/>
    </row>
    <row r="37" spans="1:25">
      <c r="D37" s="273"/>
      <c r="E37" s="178"/>
      <c r="F37" s="178"/>
      <c r="G37" s="265"/>
      <c r="H37" s="265"/>
      <c r="I37" s="265"/>
      <c r="J37" s="265"/>
      <c r="K37" s="265"/>
      <c r="L37" s="265"/>
      <c r="M37" s="265"/>
      <c r="N37" s="265"/>
      <c r="O37" s="265"/>
      <c r="P37" s="265"/>
      <c r="Q37" s="265"/>
      <c r="R37" s="265"/>
      <c r="S37" s="265"/>
      <c r="T37" s="265"/>
      <c r="U37" s="265"/>
      <c r="V37" s="265"/>
      <c r="W37" s="265"/>
      <c r="X37" s="265"/>
      <c r="Y37" s="265"/>
    </row>
    <row r="38" spans="1:25">
      <c r="D38" s="314"/>
      <c r="E38" s="177"/>
      <c r="F38" s="177"/>
      <c r="G38" s="314"/>
      <c r="H38" s="314"/>
      <c r="I38" s="314"/>
      <c r="J38" s="314"/>
      <c r="K38" s="314"/>
      <c r="L38" s="314"/>
      <c r="M38" s="314"/>
      <c r="N38" s="314"/>
      <c r="O38" s="314"/>
      <c r="P38" s="314"/>
      <c r="Q38" s="265"/>
      <c r="R38" s="265"/>
      <c r="S38" s="265"/>
      <c r="T38" s="265"/>
      <c r="U38" s="265"/>
      <c r="V38" s="265"/>
      <c r="W38" s="265"/>
      <c r="X38" s="265"/>
      <c r="Y38" s="265"/>
    </row>
    <row r="39" spans="1:25">
      <c r="D39" s="314"/>
      <c r="E39" s="177"/>
      <c r="F39" s="177"/>
      <c r="G39" s="314"/>
      <c r="H39" s="314"/>
      <c r="I39" s="314"/>
      <c r="J39" s="314"/>
      <c r="K39" s="314"/>
      <c r="L39" s="314"/>
      <c r="M39" s="314"/>
      <c r="N39" s="314"/>
      <c r="O39" s="314"/>
      <c r="P39" s="314"/>
      <c r="Q39" s="265"/>
      <c r="R39" s="265"/>
      <c r="S39" s="265"/>
      <c r="T39" s="177"/>
      <c r="U39" s="265"/>
      <c r="V39" s="265"/>
      <c r="W39" s="265"/>
      <c r="X39" s="265"/>
      <c r="Y39" s="265"/>
    </row>
    <row r="40" spans="1:25">
      <c r="D40" s="231"/>
      <c r="E40" s="231"/>
      <c r="F40" s="231"/>
      <c r="G40" s="231"/>
      <c r="H40" s="231"/>
      <c r="I40" s="231"/>
      <c r="J40" s="231"/>
      <c r="K40" s="231"/>
      <c r="L40" s="231"/>
      <c r="M40" s="231"/>
      <c r="N40" s="231"/>
      <c r="O40" s="231"/>
      <c r="P40" s="231"/>
      <c r="Q40" s="265"/>
      <c r="R40" s="265"/>
      <c r="S40" s="265"/>
      <c r="T40" s="231"/>
      <c r="U40" s="265"/>
      <c r="V40" s="265"/>
      <c r="W40" s="265"/>
      <c r="X40" s="265"/>
      <c r="Y40" s="265"/>
    </row>
    <row r="41" spans="1:25">
      <c r="D41" s="231"/>
      <c r="E41" s="231"/>
      <c r="F41" s="231"/>
      <c r="G41" s="231"/>
      <c r="H41" s="231"/>
      <c r="I41" s="231"/>
      <c r="J41" s="231"/>
      <c r="K41" s="231"/>
      <c r="L41" s="231"/>
      <c r="M41" s="231"/>
      <c r="N41" s="231"/>
      <c r="O41" s="231"/>
      <c r="P41" s="231"/>
      <c r="Q41" s="265"/>
      <c r="R41" s="265"/>
      <c r="S41" s="265"/>
      <c r="T41" s="231"/>
      <c r="U41" s="265"/>
      <c r="V41" s="314"/>
      <c r="W41" s="314"/>
      <c r="X41" s="314"/>
      <c r="Y41" s="265"/>
    </row>
    <row r="42" spans="1:25">
      <c r="D42" s="231"/>
      <c r="E42" s="231"/>
      <c r="F42" s="231"/>
      <c r="G42" s="231"/>
      <c r="H42" s="231"/>
      <c r="I42" s="231"/>
      <c r="J42" s="231"/>
      <c r="K42" s="231"/>
      <c r="L42" s="231"/>
      <c r="M42" s="231"/>
      <c r="N42" s="231"/>
      <c r="O42" s="231"/>
      <c r="P42" s="231"/>
      <c r="Q42" s="265"/>
      <c r="R42" s="265"/>
      <c r="S42" s="265"/>
      <c r="T42" s="344"/>
      <c r="U42" s="265"/>
      <c r="V42" s="314"/>
      <c r="W42" s="314"/>
      <c r="X42" s="314"/>
      <c r="Y42" s="265"/>
    </row>
    <row r="43" spans="1:25">
      <c r="D43" s="231"/>
      <c r="E43" s="231"/>
      <c r="F43" s="231"/>
      <c r="G43" s="231"/>
      <c r="H43" s="231"/>
      <c r="I43" s="231"/>
      <c r="J43" s="231"/>
      <c r="K43" s="231"/>
      <c r="L43" s="231"/>
      <c r="M43" s="231"/>
      <c r="N43" s="231"/>
      <c r="O43" s="231"/>
      <c r="P43" s="231"/>
      <c r="Q43" s="265"/>
      <c r="R43" s="265"/>
      <c r="S43" s="265"/>
      <c r="T43" s="345"/>
      <c r="U43" s="265"/>
      <c r="V43" s="265"/>
      <c r="W43" s="265"/>
      <c r="X43" s="265"/>
      <c r="Y43" s="265"/>
    </row>
    <row r="44" spans="1:25">
      <c r="D44" s="231"/>
      <c r="E44" s="231"/>
      <c r="F44" s="231"/>
      <c r="G44" s="231"/>
      <c r="H44" s="231"/>
      <c r="I44" s="231"/>
      <c r="J44" s="231"/>
      <c r="K44" s="231"/>
      <c r="L44" s="231"/>
      <c r="M44" s="231"/>
      <c r="N44" s="231"/>
      <c r="O44" s="231"/>
      <c r="P44" s="231"/>
      <c r="Q44" s="265"/>
      <c r="R44" s="265"/>
      <c r="S44" s="265"/>
      <c r="T44" s="345"/>
      <c r="U44" s="265"/>
      <c r="V44" s="265"/>
      <c r="W44" s="265"/>
      <c r="X44" s="265"/>
      <c r="Y44" s="265"/>
    </row>
    <row r="45" spans="1:25">
      <c r="D45" s="231"/>
      <c r="E45" s="231"/>
      <c r="F45" s="231"/>
      <c r="G45" s="231"/>
      <c r="H45" s="231"/>
      <c r="I45" s="231"/>
      <c r="J45" s="231"/>
      <c r="K45" s="231"/>
      <c r="L45" s="231"/>
      <c r="M45" s="231"/>
      <c r="N45" s="231"/>
      <c r="O45" s="231"/>
      <c r="P45" s="231"/>
      <c r="Q45" s="265"/>
      <c r="R45" s="265"/>
      <c r="S45" s="345"/>
      <c r="T45" s="345"/>
      <c r="U45" s="265"/>
      <c r="V45" s="265"/>
      <c r="W45" s="265"/>
      <c r="X45" s="265"/>
      <c r="Y45" s="265"/>
    </row>
    <row r="46" spans="1:25">
      <c r="D46" s="231"/>
      <c r="E46" s="231"/>
      <c r="F46" s="231"/>
      <c r="G46" s="231"/>
      <c r="H46" s="231"/>
      <c r="I46" s="231"/>
      <c r="J46" s="231"/>
      <c r="K46" s="231"/>
      <c r="L46" s="231"/>
      <c r="M46" s="231"/>
      <c r="N46" s="231"/>
      <c r="O46" s="231"/>
      <c r="P46" s="231"/>
      <c r="Q46" s="265"/>
      <c r="R46" s="265"/>
      <c r="S46" s="273"/>
      <c r="T46" s="345"/>
      <c r="U46" s="265"/>
      <c r="V46" s="265"/>
      <c r="W46" s="265"/>
      <c r="X46" s="265"/>
      <c r="Y46" s="265"/>
    </row>
    <row r="47" spans="1:25">
      <c r="D47" s="231"/>
      <c r="E47" s="231"/>
      <c r="F47" s="231"/>
      <c r="G47" s="231"/>
      <c r="H47" s="231"/>
      <c r="I47" s="231"/>
      <c r="J47" s="231"/>
      <c r="K47" s="231"/>
      <c r="L47" s="231"/>
      <c r="M47" s="231"/>
      <c r="N47" s="231"/>
      <c r="O47" s="231"/>
      <c r="P47" s="231"/>
      <c r="Q47" s="265"/>
      <c r="R47" s="265"/>
      <c r="S47" s="345"/>
      <c r="T47" s="231"/>
      <c r="U47" s="265"/>
      <c r="V47" s="265"/>
      <c r="W47" s="265"/>
      <c r="X47" s="265"/>
      <c r="Y47" s="265"/>
    </row>
    <row r="48" spans="1:25">
      <c r="D48" s="231"/>
      <c r="E48" s="231"/>
      <c r="F48" s="231"/>
      <c r="G48" s="231"/>
      <c r="H48" s="231"/>
      <c r="I48" s="231"/>
      <c r="J48" s="231"/>
      <c r="K48" s="231"/>
      <c r="L48" s="231"/>
      <c r="M48" s="231"/>
      <c r="N48" s="231"/>
      <c r="O48" s="231"/>
      <c r="P48" s="231"/>
      <c r="Q48" s="265"/>
      <c r="R48" s="265"/>
      <c r="S48" s="345"/>
      <c r="T48" s="345"/>
      <c r="U48" s="265"/>
      <c r="V48" s="265"/>
      <c r="W48" s="265"/>
      <c r="X48" s="265"/>
      <c r="Y48" s="265"/>
    </row>
    <row r="49" spans="4:25">
      <c r="D49" s="231"/>
      <c r="E49" s="231"/>
      <c r="F49" s="231"/>
      <c r="G49" s="231"/>
      <c r="H49" s="231"/>
      <c r="I49" s="231"/>
      <c r="J49" s="231"/>
      <c r="K49" s="231"/>
      <c r="L49" s="231"/>
      <c r="M49" s="231"/>
      <c r="N49" s="231"/>
      <c r="O49" s="231"/>
      <c r="P49" s="231"/>
      <c r="Q49" s="265"/>
      <c r="R49" s="265"/>
      <c r="S49" s="273"/>
      <c r="T49" s="345"/>
      <c r="U49" s="265"/>
      <c r="V49" s="265"/>
      <c r="W49" s="265"/>
      <c r="X49" s="265"/>
      <c r="Y49" s="265"/>
    </row>
    <row r="50" spans="4:25">
      <c r="D50" s="231"/>
      <c r="E50" s="231"/>
      <c r="F50" s="231"/>
      <c r="G50" s="231"/>
      <c r="H50" s="231"/>
      <c r="I50" s="231"/>
      <c r="J50" s="231"/>
      <c r="K50" s="231"/>
      <c r="L50" s="231"/>
      <c r="M50" s="231"/>
      <c r="N50" s="231"/>
      <c r="O50" s="231"/>
      <c r="P50" s="231"/>
      <c r="Q50" s="265"/>
      <c r="R50" s="265"/>
      <c r="S50" s="265"/>
      <c r="T50" s="345"/>
    </row>
    <row r="51" spans="4:25">
      <c r="D51" s="231"/>
      <c r="E51" s="231"/>
      <c r="F51" s="231"/>
      <c r="G51" s="231"/>
      <c r="H51" s="231"/>
      <c r="I51" s="231"/>
      <c r="J51" s="231"/>
      <c r="K51" s="231"/>
      <c r="L51" s="231"/>
      <c r="M51" s="231"/>
      <c r="N51" s="231"/>
      <c r="O51" s="231"/>
      <c r="P51" s="231"/>
      <c r="Q51" s="265"/>
      <c r="R51" s="265"/>
      <c r="S51" s="265"/>
      <c r="T51" s="345"/>
    </row>
    <row r="52" spans="4:25">
      <c r="D52" s="231"/>
      <c r="E52" s="231"/>
      <c r="F52" s="231"/>
      <c r="G52" s="231"/>
      <c r="H52" s="231"/>
      <c r="I52" s="231"/>
      <c r="J52" s="231"/>
      <c r="K52" s="231"/>
      <c r="L52" s="231"/>
      <c r="M52" s="231"/>
      <c r="N52" s="231"/>
      <c r="O52" s="231"/>
      <c r="P52" s="231"/>
      <c r="Q52" s="265"/>
      <c r="R52" s="265"/>
      <c r="S52" s="265"/>
      <c r="T52" s="345"/>
    </row>
    <row r="53" spans="4:25">
      <c r="D53" s="231"/>
      <c r="E53" s="231"/>
      <c r="F53" s="231"/>
      <c r="G53" s="231"/>
      <c r="H53" s="231"/>
      <c r="I53" s="231"/>
      <c r="J53" s="231"/>
      <c r="K53" s="231"/>
      <c r="L53" s="231"/>
      <c r="M53" s="231"/>
      <c r="N53" s="231"/>
      <c r="O53" s="231"/>
      <c r="P53" s="231"/>
      <c r="Q53" s="265"/>
      <c r="R53" s="265"/>
      <c r="S53" s="265"/>
      <c r="T53" s="345"/>
    </row>
    <row r="54" spans="4:25">
      <c r="D54" s="231"/>
      <c r="E54" s="231"/>
      <c r="F54" s="231"/>
      <c r="G54" s="231"/>
      <c r="H54" s="231"/>
      <c r="I54" s="231"/>
      <c r="J54" s="231"/>
      <c r="K54" s="231"/>
      <c r="L54" s="231"/>
      <c r="M54" s="231"/>
      <c r="N54" s="231"/>
      <c r="O54" s="231"/>
      <c r="P54" s="231"/>
      <c r="Q54" s="265"/>
      <c r="R54" s="265"/>
      <c r="S54" s="265"/>
      <c r="T54" s="345"/>
    </row>
    <row r="55" spans="4:25">
      <c r="D55" s="231"/>
      <c r="E55" s="231"/>
      <c r="F55" s="231"/>
      <c r="G55" s="231"/>
      <c r="H55" s="231"/>
      <c r="I55" s="231"/>
      <c r="J55" s="231"/>
      <c r="K55" s="231"/>
      <c r="L55" s="231"/>
      <c r="M55" s="231"/>
      <c r="N55" s="231"/>
      <c r="O55" s="231"/>
      <c r="P55" s="231"/>
      <c r="Q55" s="265"/>
      <c r="R55" s="265"/>
      <c r="S55" s="265"/>
      <c r="T55" s="345"/>
    </row>
    <row r="56" spans="4:25">
      <c r="D56" s="231"/>
      <c r="E56" s="231"/>
      <c r="F56" s="231"/>
      <c r="G56" s="231"/>
      <c r="H56" s="231"/>
      <c r="I56" s="231"/>
      <c r="J56" s="231"/>
      <c r="K56" s="231"/>
      <c r="L56" s="231"/>
      <c r="M56" s="231"/>
      <c r="N56" s="231"/>
      <c r="O56" s="231"/>
      <c r="P56" s="231"/>
      <c r="Q56" s="265"/>
      <c r="R56" s="265"/>
      <c r="S56" s="265"/>
      <c r="T56" s="345"/>
    </row>
    <row r="57" spans="4:25">
      <c r="D57" s="314"/>
      <c r="E57" s="177"/>
      <c r="F57" s="177"/>
      <c r="G57" s="314"/>
      <c r="H57" s="314"/>
      <c r="I57" s="314"/>
      <c r="J57" s="314"/>
      <c r="K57" s="314"/>
      <c r="L57" s="314"/>
      <c r="M57" s="314"/>
      <c r="N57" s="314"/>
      <c r="O57" s="314"/>
      <c r="P57" s="314"/>
      <c r="Q57" s="265"/>
      <c r="R57" s="265"/>
      <c r="S57" s="265"/>
      <c r="T57" s="345"/>
    </row>
    <row r="58" spans="4:25">
      <c r="D58" s="314"/>
      <c r="E58" s="177"/>
      <c r="F58" s="177"/>
      <c r="G58" s="314"/>
      <c r="H58" s="314"/>
      <c r="I58" s="314"/>
      <c r="J58" s="314"/>
      <c r="K58" s="314"/>
      <c r="L58" s="314"/>
      <c r="M58" s="314"/>
      <c r="N58" s="314"/>
      <c r="O58" s="314"/>
      <c r="P58" s="314"/>
      <c r="Q58" s="265"/>
      <c r="R58" s="265"/>
      <c r="S58" s="265"/>
      <c r="T58" s="345"/>
    </row>
    <row r="59" spans="4:25">
      <c r="D59" s="314"/>
      <c r="E59" s="314"/>
      <c r="F59" s="314"/>
      <c r="G59" s="314"/>
      <c r="H59" s="314"/>
      <c r="I59" s="314"/>
      <c r="J59" s="314"/>
      <c r="K59" s="314"/>
      <c r="L59" s="314"/>
      <c r="M59" s="314"/>
      <c r="N59" s="314"/>
      <c r="O59" s="314"/>
      <c r="P59" s="231"/>
      <c r="Q59" s="265"/>
      <c r="R59" s="265"/>
      <c r="S59" s="265"/>
      <c r="T59" s="345"/>
    </row>
    <row r="60" spans="4:25">
      <c r="D60" s="314"/>
      <c r="E60" s="314"/>
      <c r="F60" s="314"/>
      <c r="G60" s="314"/>
      <c r="H60" s="314"/>
      <c r="I60" s="314"/>
      <c r="J60" s="314"/>
      <c r="K60" s="232"/>
      <c r="L60" s="232"/>
      <c r="M60" s="232"/>
      <c r="N60" s="232"/>
      <c r="O60" s="314"/>
      <c r="P60" s="232"/>
      <c r="Q60" s="265"/>
      <c r="R60" s="265"/>
      <c r="S60" s="265"/>
      <c r="T60" s="265"/>
    </row>
    <row r="61" spans="4:25">
      <c r="D61" s="314"/>
      <c r="E61" s="314"/>
      <c r="F61" s="314"/>
      <c r="G61" s="231"/>
      <c r="H61" s="231"/>
      <c r="I61" s="231"/>
      <c r="J61" s="231"/>
      <c r="K61" s="232"/>
      <c r="L61" s="232"/>
      <c r="M61" s="232"/>
      <c r="N61" s="232"/>
      <c r="O61" s="231"/>
      <c r="P61" s="232"/>
      <c r="Q61" s="265"/>
      <c r="R61" s="265"/>
      <c r="S61" s="265"/>
      <c r="T61" s="265"/>
    </row>
    <row r="62" spans="4:25">
      <c r="D62" s="314"/>
      <c r="E62" s="314"/>
      <c r="F62" s="314"/>
      <c r="G62" s="231"/>
      <c r="H62" s="231"/>
      <c r="I62" s="231"/>
      <c r="J62" s="231"/>
      <c r="K62" s="232"/>
      <c r="L62" s="232"/>
      <c r="M62" s="232"/>
      <c r="N62" s="232"/>
      <c r="O62" s="231"/>
      <c r="P62" s="231"/>
      <c r="Q62" s="265"/>
      <c r="R62" s="265"/>
      <c r="S62" s="265"/>
      <c r="T62" s="265"/>
    </row>
    <row r="63" spans="4:25">
      <c r="D63" s="177"/>
      <c r="E63" s="314"/>
      <c r="F63" s="314"/>
      <c r="G63" s="231"/>
      <c r="H63" s="231"/>
      <c r="I63" s="231"/>
      <c r="J63" s="231"/>
      <c r="K63" s="232"/>
      <c r="L63" s="232"/>
      <c r="M63" s="232"/>
      <c r="N63" s="232"/>
      <c r="O63" s="231"/>
      <c r="P63" s="231"/>
      <c r="Q63" s="265"/>
      <c r="R63" s="265"/>
      <c r="S63" s="265"/>
      <c r="T63" s="265"/>
    </row>
    <row r="64" spans="4:25">
      <c r="D64" s="314"/>
      <c r="E64" s="314"/>
      <c r="F64" s="314"/>
      <c r="G64" s="231"/>
      <c r="H64" s="231"/>
      <c r="I64" s="231"/>
      <c r="J64" s="231"/>
      <c r="K64" s="232"/>
      <c r="L64" s="232"/>
      <c r="M64" s="232"/>
      <c r="N64" s="232"/>
      <c r="O64" s="231"/>
      <c r="P64" s="231"/>
      <c r="Q64" s="265"/>
      <c r="R64" s="265"/>
      <c r="S64" s="265"/>
      <c r="T64" s="265"/>
    </row>
    <row r="65" spans="4:20">
      <c r="D65" s="314"/>
      <c r="E65" s="314"/>
      <c r="F65" s="314"/>
      <c r="G65" s="314"/>
      <c r="H65" s="314"/>
      <c r="I65" s="314"/>
      <c r="J65" s="314"/>
      <c r="K65" s="232"/>
      <c r="L65" s="232"/>
      <c r="M65" s="232"/>
      <c r="N65" s="232"/>
      <c r="O65" s="231"/>
      <c r="P65" s="231"/>
      <c r="Q65" s="265"/>
      <c r="R65" s="265"/>
      <c r="S65" s="265"/>
      <c r="T65" s="265"/>
    </row>
    <row r="66" spans="4:20">
      <c r="D66" s="314"/>
      <c r="E66" s="314"/>
      <c r="F66" s="314"/>
      <c r="G66" s="314"/>
      <c r="H66" s="314"/>
      <c r="I66" s="314"/>
      <c r="J66" s="314"/>
      <c r="K66" s="314"/>
      <c r="L66" s="314"/>
      <c r="M66" s="314"/>
      <c r="N66" s="314"/>
      <c r="O66" s="231"/>
      <c r="P66" s="231"/>
      <c r="Q66" s="265"/>
      <c r="R66" s="265"/>
      <c r="S66" s="265"/>
      <c r="T66" s="265"/>
    </row>
    <row r="67" spans="4:20">
      <c r="D67" s="314"/>
      <c r="E67" s="314"/>
      <c r="F67" s="314"/>
      <c r="G67" s="231"/>
      <c r="H67" s="231"/>
      <c r="I67" s="231"/>
      <c r="J67" s="231"/>
      <c r="K67" s="231"/>
      <c r="L67" s="231"/>
      <c r="M67" s="231"/>
      <c r="N67" s="231"/>
      <c r="O67" s="231"/>
      <c r="P67" s="231"/>
      <c r="Q67" s="265"/>
      <c r="R67" s="265"/>
      <c r="S67" s="52"/>
      <c r="T67" s="265"/>
    </row>
    <row r="68" spans="4:20">
      <c r="D68" s="314"/>
      <c r="E68" s="335"/>
      <c r="F68" s="335"/>
      <c r="G68" s="232"/>
      <c r="H68" s="232"/>
      <c r="I68" s="232"/>
      <c r="J68" s="232"/>
      <c r="K68" s="232"/>
      <c r="L68" s="232"/>
      <c r="M68" s="232"/>
      <c r="N68" s="232"/>
      <c r="O68" s="232"/>
      <c r="P68" s="232"/>
      <c r="Q68" s="52"/>
      <c r="R68" s="52"/>
      <c r="S68" s="346"/>
      <c r="T68" s="265"/>
    </row>
    <row r="69" spans="4:20">
      <c r="D69" s="314"/>
      <c r="E69" s="335"/>
      <c r="F69" s="335"/>
      <c r="G69" s="232"/>
      <c r="H69" s="232"/>
      <c r="I69" s="232"/>
      <c r="J69" s="232"/>
      <c r="K69" s="232"/>
      <c r="L69" s="232"/>
      <c r="M69" s="232"/>
      <c r="N69" s="232"/>
      <c r="O69" s="232"/>
      <c r="P69" s="232"/>
      <c r="Q69" s="52"/>
      <c r="R69" s="52"/>
      <c r="S69" s="52"/>
      <c r="T69" s="265"/>
    </row>
    <row r="70" spans="4:20">
      <c r="D70" s="314"/>
      <c r="E70" s="335"/>
      <c r="F70" s="335"/>
      <c r="G70" s="232"/>
      <c r="H70" s="232"/>
      <c r="I70" s="232"/>
      <c r="J70" s="232"/>
      <c r="K70" s="231"/>
      <c r="L70" s="231"/>
      <c r="M70" s="231"/>
      <c r="N70" s="231"/>
      <c r="O70" s="232"/>
      <c r="P70" s="232"/>
      <c r="Q70" s="52"/>
      <c r="R70" s="52"/>
      <c r="S70" s="52"/>
      <c r="T70" s="265"/>
    </row>
    <row r="71" spans="4:20">
      <c r="D71" s="314"/>
      <c r="E71" s="232"/>
      <c r="F71" s="232"/>
      <c r="G71" s="232"/>
      <c r="H71" s="232"/>
      <c r="I71" s="232"/>
      <c r="J71" s="232"/>
      <c r="K71" s="232"/>
      <c r="L71" s="232"/>
      <c r="M71" s="232"/>
      <c r="N71" s="232"/>
      <c r="O71" s="232"/>
      <c r="P71" s="232"/>
      <c r="Q71" s="52"/>
      <c r="R71" s="52"/>
      <c r="S71" s="52"/>
      <c r="T71" s="265"/>
    </row>
    <row r="72" spans="4:20">
      <c r="D72" s="265"/>
      <c r="E72" s="52"/>
      <c r="F72" s="52"/>
      <c r="G72" s="52"/>
      <c r="H72" s="52"/>
      <c r="I72" s="52"/>
      <c r="J72" s="52"/>
      <c r="K72" s="52"/>
      <c r="L72" s="52"/>
      <c r="M72" s="52"/>
      <c r="N72" s="52"/>
      <c r="O72" s="52"/>
      <c r="P72" s="52"/>
      <c r="Q72" s="52"/>
      <c r="R72" s="52"/>
      <c r="S72" s="265"/>
      <c r="T72" s="265"/>
    </row>
    <row r="73" spans="4:20">
      <c r="D73" s="265"/>
      <c r="E73" s="263"/>
      <c r="F73" s="263"/>
      <c r="G73" s="231"/>
      <c r="H73" s="231"/>
      <c r="I73" s="231"/>
      <c r="J73" s="231"/>
      <c r="K73" s="345"/>
      <c r="L73" s="345"/>
      <c r="M73" s="345"/>
      <c r="N73" s="345"/>
      <c r="O73" s="345"/>
      <c r="P73" s="345"/>
      <c r="Q73" s="265"/>
      <c r="R73" s="265"/>
      <c r="S73" s="265"/>
      <c r="T73" s="265"/>
    </row>
    <row r="74" spans="4:20">
      <c r="D74" s="265"/>
      <c r="E74" s="263"/>
      <c r="F74" s="263"/>
      <c r="G74" s="231"/>
      <c r="H74" s="231"/>
      <c r="I74" s="231"/>
      <c r="J74" s="231"/>
      <c r="K74" s="345"/>
      <c r="L74" s="345"/>
      <c r="M74" s="345"/>
      <c r="N74" s="345"/>
      <c r="O74" s="345"/>
      <c r="P74" s="345"/>
      <c r="Q74" s="345"/>
      <c r="R74" s="265"/>
      <c r="S74" s="265"/>
      <c r="T74" s="265"/>
    </row>
    <row r="75" spans="4:20">
      <c r="G75" s="347"/>
      <c r="H75" s="347"/>
      <c r="I75" s="347"/>
      <c r="J75" s="347"/>
      <c r="K75" s="347"/>
      <c r="L75" s="347"/>
      <c r="M75" s="347"/>
      <c r="N75" s="347"/>
      <c r="O75" s="347"/>
      <c r="P75" s="347"/>
      <c r="Q75" s="347"/>
    </row>
    <row r="76" spans="4:20">
      <c r="G76" s="347"/>
      <c r="H76" s="347"/>
      <c r="I76" s="347"/>
      <c r="J76" s="347"/>
      <c r="K76" s="347"/>
      <c r="L76" s="347"/>
      <c r="M76" s="347"/>
      <c r="N76" s="347"/>
      <c r="O76" s="347"/>
      <c r="P76" s="347"/>
      <c r="Q76" s="347"/>
    </row>
    <row r="77" spans="4:20">
      <c r="G77" s="347"/>
      <c r="H77" s="347"/>
      <c r="I77" s="347"/>
      <c r="J77" s="347"/>
      <c r="K77" s="347"/>
      <c r="L77" s="347"/>
      <c r="M77" s="347"/>
      <c r="N77" s="347"/>
      <c r="O77" s="347"/>
      <c r="P77" s="347"/>
      <c r="Q77" s="347"/>
    </row>
    <row r="78" spans="4:20">
      <c r="G78" s="347"/>
      <c r="H78" s="347"/>
      <c r="I78" s="347"/>
      <c r="J78" s="347"/>
      <c r="K78" s="347"/>
      <c r="L78" s="347"/>
      <c r="M78" s="347"/>
      <c r="N78" s="347"/>
      <c r="O78" s="347"/>
      <c r="P78" s="347"/>
      <c r="Q78" s="347"/>
    </row>
    <row r="79" spans="4:20">
      <c r="G79" s="347"/>
      <c r="H79" s="347"/>
      <c r="I79" s="347"/>
      <c r="J79" s="347"/>
      <c r="K79" s="347"/>
      <c r="L79" s="347"/>
      <c r="M79" s="347"/>
      <c r="N79" s="347"/>
      <c r="O79" s="347"/>
      <c r="P79" s="347"/>
      <c r="Q79" s="347"/>
    </row>
    <row r="80" spans="4:20">
      <c r="G80" s="347"/>
      <c r="H80" s="347"/>
      <c r="I80" s="347"/>
      <c r="J80" s="347"/>
      <c r="K80" s="347"/>
      <c r="L80" s="347"/>
      <c r="M80" s="347"/>
      <c r="N80" s="347"/>
      <c r="O80" s="347"/>
      <c r="P80" s="347"/>
      <c r="Q80" s="347"/>
    </row>
    <row r="81" spans="7:17">
      <c r="G81" s="347"/>
      <c r="H81" s="347"/>
      <c r="I81" s="347"/>
      <c r="J81" s="347"/>
      <c r="K81" s="347"/>
      <c r="L81" s="347"/>
      <c r="M81" s="347"/>
      <c r="N81" s="347"/>
      <c r="O81" s="347"/>
      <c r="P81" s="347"/>
      <c r="Q81" s="347"/>
    </row>
    <row r="82" spans="7:17">
      <c r="G82" s="347"/>
      <c r="H82" s="347"/>
      <c r="I82" s="347"/>
      <c r="J82" s="347"/>
      <c r="K82" s="347"/>
      <c r="L82" s="347"/>
      <c r="M82" s="347"/>
      <c r="N82" s="347"/>
      <c r="O82" s="347"/>
      <c r="P82" s="347"/>
      <c r="Q82" s="347"/>
    </row>
    <row r="83" spans="7:17">
      <c r="G83" s="347"/>
      <c r="H83" s="347"/>
      <c r="I83" s="347"/>
      <c r="J83" s="347"/>
      <c r="K83" s="347"/>
      <c r="L83" s="347"/>
      <c r="M83" s="347"/>
      <c r="N83" s="347"/>
      <c r="O83" s="347"/>
      <c r="P83" s="347"/>
      <c r="Q83" s="347"/>
    </row>
    <row r="84" spans="7:17">
      <c r="G84" s="347"/>
      <c r="H84" s="347"/>
      <c r="I84" s="347"/>
      <c r="J84" s="347"/>
      <c r="K84" s="347"/>
      <c r="L84" s="347"/>
      <c r="M84" s="347"/>
      <c r="N84" s="347"/>
      <c r="O84" s="347"/>
      <c r="P84" s="347"/>
      <c r="Q84" s="347"/>
    </row>
    <row r="85" spans="7:17">
      <c r="G85" s="347"/>
      <c r="H85" s="347"/>
      <c r="I85" s="347"/>
      <c r="J85" s="347"/>
      <c r="K85" s="347"/>
      <c r="L85" s="347"/>
      <c r="M85" s="347"/>
      <c r="N85" s="347"/>
      <c r="O85" s="347"/>
    </row>
  </sheetData>
  <mergeCells count="5">
    <mergeCell ref="A1:O1"/>
    <mergeCell ref="A2:O2"/>
    <mergeCell ref="A3:O3"/>
    <mergeCell ref="B33:O33"/>
    <mergeCell ref="A4:O4"/>
  </mergeCells>
  <printOptions horizontalCentered="1"/>
  <pageMargins left="0.7" right="0.7" top="0.75" bottom="0.75" header="0.3" footer="0.3"/>
  <pageSetup fitToWidth="2"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1" manualBreakCount="1">
    <brk id="36" max="16383"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O166"/>
  <sheetViews>
    <sheetView zoomScale="50" workbookViewId="0">
      <selection activeCell="I68" sqref="I68"/>
    </sheetView>
  </sheetViews>
  <sheetFormatPr baseColWidth="10" defaultColWidth="9.1640625" defaultRowHeight="13"/>
  <cols>
    <col min="1" max="1" width="2.33203125" style="316" customWidth="1"/>
    <col min="2" max="2" width="5.33203125" style="316" customWidth="1"/>
    <col min="3" max="3" width="2.33203125" style="316" customWidth="1"/>
    <col min="4" max="4" width="38" style="316" bestFit="1" customWidth="1"/>
    <col min="5" max="5" width="11.33203125" style="316" customWidth="1"/>
    <col min="6" max="6" width="11.6640625" style="316" customWidth="1"/>
    <col min="7" max="7" width="15.5" style="316" customWidth="1"/>
    <col min="8" max="8" width="12.33203125" style="316" customWidth="1"/>
    <col min="9" max="10" width="10.5" style="316" customWidth="1"/>
    <col min="11" max="12" width="9.1640625" style="316"/>
    <col min="13" max="14" width="11.33203125" style="316" bestFit="1" customWidth="1"/>
    <col min="15" max="15" width="9.6640625" style="316" bestFit="1" customWidth="1"/>
    <col min="16" max="16384" width="9.1640625" style="316"/>
  </cols>
  <sheetData>
    <row r="1" spans="2:15">
      <c r="B1" s="258" t="s">
        <v>22</v>
      </c>
      <c r="C1" s="258"/>
      <c r="D1" s="258"/>
      <c r="E1" s="258"/>
      <c r="F1" s="258"/>
      <c r="G1" s="258"/>
      <c r="H1" s="258"/>
      <c r="I1" s="259"/>
      <c r="J1" s="259"/>
    </row>
    <row r="2" spans="2:15">
      <c r="B2" s="626" t="s">
        <v>399</v>
      </c>
      <c r="C2" s="626"/>
      <c r="D2" s="626"/>
      <c r="E2" s="626"/>
      <c r="F2" s="626"/>
      <c r="G2" s="626"/>
      <c r="H2" s="626"/>
      <c r="I2" s="259"/>
      <c r="J2" s="259"/>
    </row>
    <row r="3" spans="2:15">
      <c r="B3" s="258" t="s">
        <v>400</v>
      </c>
      <c r="C3" s="258"/>
      <c r="D3" s="258"/>
      <c r="E3" s="258"/>
      <c r="F3" s="258"/>
      <c r="G3" s="258"/>
      <c r="H3" s="258"/>
      <c r="I3" s="259"/>
      <c r="J3" s="259"/>
    </row>
    <row r="4" spans="2:15">
      <c r="B4" s="261"/>
      <c r="C4" s="261"/>
      <c r="D4" s="261"/>
      <c r="E4" s="261"/>
      <c r="F4" s="261"/>
      <c r="G4" s="261"/>
      <c r="H4" s="261"/>
      <c r="I4" s="259"/>
      <c r="J4" s="259"/>
    </row>
    <row r="5" spans="2:15" ht="15" customHeight="1">
      <c r="E5" s="598"/>
      <c r="F5" s="392" t="s">
        <v>273</v>
      </c>
      <c r="G5" s="598" t="s">
        <v>401</v>
      </c>
      <c r="H5" s="598" t="s">
        <v>273</v>
      </c>
    </row>
    <row r="6" spans="2:15" ht="15" customHeight="1">
      <c r="B6" s="598" t="s">
        <v>168</v>
      </c>
      <c r="E6" s="598" t="s">
        <v>277</v>
      </c>
      <c r="F6" s="392" t="s">
        <v>278</v>
      </c>
      <c r="G6" s="598" t="s">
        <v>281</v>
      </c>
      <c r="H6" s="598" t="s">
        <v>283</v>
      </c>
    </row>
    <row r="7" spans="2:15" ht="15">
      <c r="B7" s="600" t="s">
        <v>285</v>
      </c>
      <c r="C7" s="627" t="s">
        <v>286</v>
      </c>
      <c r="D7" s="627"/>
      <c r="E7" s="600" t="s">
        <v>287</v>
      </c>
      <c r="F7" s="264" t="s">
        <v>174</v>
      </c>
      <c r="G7" s="600" t="s">
        <v>402</v>
      </c>
      <c r="H7" s="600" t="s">
        <v>290</v>
      </c>
      <c r="I7" s="265"/>
      <c r="J7" s="266"/>
    </row>
    <row r="8" spans="2:15" ht="15">
      <c r="B8" s="265"/>
      <c r="C8" s="262"/>
      <c r="D8" s="262" t="s">
        <v>30</v>
      </c>
      <c r="E8" s="262" t="s">
        <v>31</v>
      </c>
      <c r="F8" s="262" t="s">
        <v>32</v>
      </c>
      <c r="G8" s="262" t="s">
        <v>33</v>
      </c>
      <c r="H8" s="262" t="s">
        <v>145</v>
      </c>
      <c r="I8" s="265"/>
      <c r="J8" s="266"/>
    </row>
    <row r="9" spans="2:15" ht="15">
      <c r="B9" s="598">
        <v>1</v>
      </c>
      <c r="C9" s="262"/>
      <c r="D9" s="262"/>
      <c r="E9" s="262"/>
      <c r="F9" s="263"/>
      <c r="G9" s="262"/>
      <c r="H9" s="262"/>
      <c r="I9" s="265"/>
      <c r="J9" s="266"/>
    </row>
    <row r="10" spans="2:15" ht="15">
      <c r="B10" s="598">
        <f>B9+1</f>
        <v>2</v>
      </c>
      <c r="C10" s="316" t="s">
        <v>403</v>
      </c>
      <c r="D10" s="262"/>
      <c r="E10" s="262">
        <v>16</v>
      </c>
      <c r="F10" s="460">
        <v>0.9</v>
      </c>
      <c r="G10" s="267">
        <v>622</v>
      </c>
      <c r="H10" s="270">
        <f>ROUND(F10*G10,2)</f>
        <v>559.79999999999995</v>
      </c>
      <c r="I10" s="265"/>
      <c r="J10" s="266"/>
    </row>
    <row r="11" spans="2:15" ht="15">
      <c r="B11" s="598">
        <f t="shared" ref="B11:B74" si="0">B10+1</f>
        <v>3</v>
      </c>
      <c r="C11" s="262"/>
      <c r="D11" s="262"/>
      <c r="E11" s="262"/>
      <c r="F11" s="263"/>
      <c r="G11" s="262"/>
      <c r="H11" s="270"/>
      <c r="I11" s="265"/>
      <c r="J11" s="266"/>
    </row>
    <row r="12" spans="2:15" ht="15">
      <c r="B12" s="598">
        <f t="shared" si="0"/>
        <v>4</v>
      </c>
      <c r="C12" s="316" t="s">
        <v>28</v>
      </c>
      <c r="E12" s="598" t="s">
        <v>295</v>
      </c>
      <c r="F12" s="308">
        <f>'Total Rate Impact'!F11</f>
        <v>3.9300000000000002E-2</v>
      </c>
      <c r="G12" s="267">
        <v>559688037</v>
      </c>
      <c r="H12" s="270">
        <f>ROUND(F12*G12,2)</f>
        <v>21995739.850000001</v>
      </c>
      <c r="J12" s="266"/>
      <c r="M12" s="270"/>
      <c r="N12" s="270"/>
      <c r="O12" s="270"/>
    </row>
    <row r="13" spans="2:15">
      <c r="B13" s="598">
        <f t="shared" si="0"/>
        <v>5</v>
      </c>
      <c r="E13" s="598"/>
      <c r="F13" s="297"/>
      <c r="H13" s="270"/>
      <c r="M13" s="270"/>
      <c r="N13" s="270"/>
      <c r="O13" s="270"/>
    </row>
    <row r="14" spans="2:15" ht="15">
      <c r="B14" s="598">
        <f t="shared" si="0"/>
        <v>6</v>
      </c>
      <c r="C14" s="316" t="s">
        <v>296</v>
      </c>
      <c r="E14" s="598">
        <v>31</v>
      </c>
      <c r="F14" s="308">
        <f>'Total Rate Impact'!F13</f>
        <v>3.0330000000000024E-2</v>
      </c>
      <c r="G14" s="267">
        <v>202815693</v>
      </c>
      <c r="H14" s="270">
        <f>ROUND(F14*G14,2)</f>
        <v>6151399.9699999997</v>
      </c>
      <c r="J14" s="266"/>
      <c r="M14" s="270"/>
      <c r="N14" s="270"/>
      <c r="O14" s="270"/>
    </row>
    <row r="15" spans="2:15">
      <c r="B15" s="598">
        <f t="shared" si="0"/>
        <v>7</v>
      </c>
      <c r="E15" s="598"/>
      <c r="F15" s="297"/>
      <c r="H15" s="270"/>
      <c r="M15" s="270"/>
      <c r="N15" s="270"/>
      <c r="O15" s="270"/>
    </row>
    <row r="16" spans="2:15" ht="15">
      <c r="B16" s="598">
        <f t="shared" si="0"/>
        <v>8</v>
      </c>
      <c r="C16" s="316" t="s">
        <v>300</v>
      </c>
      <c r="E16" s="598">
        <v>41</v>
      </c>
      <c r="F16" s="297"/>
      <c r="G16" s="267"/>
      <c r="H16" s="270"/>
      <c r="J16" s="266"/>
      <c r="M16" s="270"/>
      <c r="N16" s="270"/>
      <c r="O16" s="270"/>
    </row>
    <row r="17" spans="2:15" ht="15">
      <c r="B17" s="598">
        <f t="shared" si="0"/>
        <v>9</v>
      </c>
      <c r="D17" s="316" t="s">
        <v>186</v>
      </c>
      <c r="E17" s="598"/>
      <c r="F17" s="427">
        <f>'Total Rate Impact'!F23</f>
        <v>0.1100000000000001</v>
      </c>
      <c r="G17" s="267">
        <v>4308674.33</v>
      </c>
      <c r="H17" s="270">
        <f>ROUND(F17*G17,2)</f>
        <v>473954.18</v>
      </c>
      <c r="J17" s="266"/>
      <c r="M17" s="270"/>
      <c r="N17" s="270"/>
      <c r="O17" s="270"/>
    </row>
    <row r="18" spans="2:15" ht="15">
      <c r="B18" s="598">
        <f t="shared" si="0"/>
        <v>10</v>
      </c>
      <c r="D18" s="316" t="s">
        <v>187</v>
      </c>
      <c r="E18" s="598"/>
      <c r="F18" s="427"/>
      <c r="G18" s="267"/>
      <c r="H18" s="270"/>
      <c r="J18" s="266"/>
      <c r="M18" s="270"/>
      <c r="N18" s="270"/>
      <c r="O18" s="270"/>
    </row>
    <row r="19" spans="2:15" ht="15">
      <c r="B19" s="598">
        <f t="shared" si="0"/>
        <v>11</v>
      </c>
      <c r="D19" s="316" t="s">
        <v>301</v>
      </c>
      <c r="E19" s="598"/>
      <c r="F19" s="308">
        <f>'Total Rate Impact'!F25</f>
        <v>1.3700000000000018E-2</v>
      </c>
      <c r="G19" s="267">
        <v>32519670</v>
      </c>
      <c r="H19" s="270">
        <f>ROUND(F19*G19,2)</f>
        <v>445519.48</v>
      </c>
      <c r="J19" s="266"/>
      <c r="M19" s="270"/>
      <c r="N19" s="270"/>
      <c r="O19" s="270"/>
    </row>
    <row r="20" spans="2:15" ht="15">
      <c r="B20" s="598">
        <f t="shared" si="0"/>
        <v>12</v>
      </c>
      <c r="D20" s="316" t="s">
        <v>302</v>
      </c>
      <c r="E20" s="598"/>
      <c r="F20" s="308">
        <f>'Total Rate Impact'!F26</f>
        <v>1.1029999999999998E-2</v>
      </c>
      <c r="G20" s="271">
        <v>26996599</v>
      </c>
      <c r="H20" s="272">
        <f>ROUND(F20*G20,2)</f>
        <v>297772.49</v>
      </c>
      <c r="J20" s="266"/>
      <c r="M20" s="270"/>
      <c r="N20" s="270"/>
      <c r="O20" s="270"/>
    </row>
    <row r="21" spans="2:15" ht="15">
      <c r="B21" s="598">
        <f t="shared" si="0"/>
        <v>13</v>
      </c>
      <c r="D21" s="316" t="s">
        <v>143</v>
      </c>
      <c r="E21" s="598"/>
      <c r="F21" s="297"/>
      <c r="G21" s="267">
        <f>SUM(G19:G20)</f>
        <v>59516269</v>
      </c>
      <c r="H21" s="270">
        <f>SUM(H17:H20)</f>
        <v>1217246.1499999999</v>
      </c>
      <c r="J21" s="266"/>
      <c r="M21" s="270"/>
      <c r="N21" s="270"/>
      <c r="O21" s="270"/>
    </row>
    <row r="22" spans="2:15">
      <c r="B22" s="598">
        <f t="shared" si="0"/>
        <v>14</v>
      </c>
      <c r="E22" s="598"/>
      <c r="F22" s="297"/>
      <c r="H22" s="270"/>
      <c r="M22" s="270"/>
      <c r="N22" s="270"/>
      <c r="O22" s="270"/>
    </row>
    <row r="23" spans="2:15">
      <c r="B23" s="598">
        <f t="shared" si="0"/>
        <v>15</v>
      </c>
      <c r="C23" s="316" t="s">
        <v>303</v>
      </c>
      <c r="E23" s="598" t="s">
        <v>242</v>
      </c>
      <c r="F23" s="297"/>
      <c r="G23" s="267"/>
      <c r="H23" s="270"/>
      <c r="M23" s="270"/>
      <c r="N23" s="270"/>
      <c r="O23" s="270"/>
    </row>
    <row r="24" spans="2:15">
      <c r="B24" s="598">
        <f t="shared" si="0"/>
        <v>16</v>
      </c>
      <c r="D24" s="316" t="s">
        <v>186</v>
      </c>
      <c r="E24" s="598"/>
      <c r="F24" s="427">
        <f>'Total Rate Impact'!F30</f>
        <v>0.1100000000000001</v>
      </c>
      <c r="G24" s="267">
        <v>512366</v>
      </c>
      <c r="H24" s="270">
        <f>ROUND(F24*G24,2)</f>
        <v>56360.26</v>
      </c>
      <c r="M24" s="270"/>
      <c r="N24" s="270"/>
      <c r="O24" s="270"/>
    </row>
    <row r="25" spans="2:15">
      <c r="B25" s="598">
        <f t="shared" si="0"/>
        <v>17</v>
      </c>
      <c r="D25" s="316" t="s">
        <v>184</v>
      </c>
      <c r="E25" s="598"/>
      <c r="F25" s="308">
        <f>'Total Rate Impact'!F31</f>
        <v>-5.3000000000000009E-4</v>
      </c>
      <c r="G25" s="273">
        <v>10889483</v>
      </c>
      <c r="H25" s="270">
        <f>ROUND(F25*G25,2)</f>
        <v>-5771.43</v>
      </c>
      <c r="M25" s="270"/>
      <c r="N25" s="270"/>
      <c r="O25" s="270"/>
    </row>
    <row r="26" spans="2:15">
      <c r="B26" s="598">
        <f t="shared" si="0"/>
        <v>18</v>
      </c>
      <c r="D26" s="316" t="s">
        <v>187</v>
      </c>
      <c r="E26" s="598"/>
      <c r="F26" s="308"/>
      <c r="G26" s="267"/>
      <c r="H26" s="270"/>
      <c r="M26" s="270"/>
      <c r="N26" s="270"/>
      <c r="O26" s="270"/>
    </row>
    <row r="27" spans="2:15">
      <c r="B27" s="598">
        <f t="shared" si="0"/>
        <v>19</v>
      </c>
      <c r="D27" s="316" t="s">
        <v>301</v>
      </c>
      <c r="E27" s="598"/>
      <c r="F27" s="308">
        <f>'Total Rate Impact'!F33</f>
        <v>1.3700000000000018E-2</v>
      </c>
      <c r="G27" s="267">
        <v>2690154</v>
      </c>
      <c r="H27" s="270">
        <f>ROUND(F27*G27,2)</f>
        <v>36855.11</v>
      </c>
      <c r="M27" s="270"/>
      <c r="N27" s="270"/>
      <c r="O27" s="270"/>
    </row>
    <row r="28" spans="2:15">
      <c r="B28" s="598">
        <f t="shared" si="0"/>
        <v>20</v>
      </c>
      <c r="D28" s="316" t="s">
        <v>302</v>
      </c>
      <c r="E28" s="598"/>
      <c r="F28" s="308">
        <f>'Total Rate Impact'!F34</f>
        <v>1.1029999999999998E-2</v>
      </c>
      <c r="G28" s="271">
        <v>7533376</v>
      </c>
      <c r="H28" s="272">
        <f>ROUND(F28*G28,2)</f>
        <v>83093.14</v>
      </c>
      <c r="M28" s="270"/>
      <c r="N28" s="270"/>
      <c r="O28" s="270"/>
    </row>
    <row r="29" spans="2:15">
      <c r="B29" s="598">
        <f t="shared" si="0"/>
        <v>21</v>
      </c>
      <c r="D29" s="316" t="s">
        <v>143</v>
      </c>
      <c r="E29" s="598"/>
      <c r="F29" s="297"/>
      <c r="G29" s="267">
        <f>SUM(G27:G28)</f>
        <v>10223530</v>
      </c>
      <c r="H29" s="270">
        <f>SUM(H24:H28)</f>
        <v>170537.08000000002</v>
      </c>
      <c r="M29" s="270"/>
      <c r="N29" s="270"/>
      <c r="O29" s="270"/>
    </row>
    <row r="30" spans="2:15">
      <c r="B30" s="598">
        <f t="shared" si="0"/>
        <v>22</v>
      </c>
      <c r="E30" s="598"/>
      <c r="F30" s="297"/>
      <c r="G30" s="267"/>
      <c r="H30" s="270"/>
      <c r="M30" s="270"/>
      <c r="N30" s="270"/>
      <c r="O30" s="270"/>
    </row>
    <row r="31" spans="2:15">
      <c r="B31" s="598">
        <f t="shared" si="0"/>
        <v>23</v>
      </c>
      <c r="D31" s="316" t="s">
        <v>304</v>
      </c>
      <c r="E31" s="598" t="s">
        <v>305</v>
      </c>
      <c r="F31" s="297"/>
      <c r="G31" s="267">
        <f>G21+G29</f>
        <v>69739799</v>
      </c>
      <c r="H31" s="270">
        <f t="shared" ref="H31" si="1">H21+H29</f>
        <v>1387783.23</v>
      </c>
      <c r="M31" s="270"/>
      <c r="N31" s="270"/>
      <c r="O31" s="270"/>
    </row>
    <row r="32" spans="2:15">
      <c r="B32" s="598">
        <f t="shared" si="0"/>
        <v>24</v>
      </c>
      <c r="E32" s="598"/>
      <c r="F32" s="297"/>
      <c r="H32" s="270"/>
      <c r="M32" s="270"/>
      <c r="N32" s="270"/>
      <c r="O32" s="270"/>
    </row>
    <row r="33" spans="2:15" ht="15">
      <c r="B33" s="598">
        <f t="shared" si="0"/>
        <v>25</v>
      </c>
      <c r="C33" s="316" t="s">
        <v>306</v>
      </c>
      <c r="E33" s="598">
        <v>85</v>
      </c>
      <c r="F33" s="297"/>
      <c r="H33" s="274"/>
      <c r="M33" s="270"/>
      <c r="N33" s="270"/>
      <c r="O33" s="270"/>
    </row>
    <row r="34" spans="2:15">
      <c r="B34" s="598">
        <f t="shared" si="0"/>
        <v>26</v>
      </c>
      <c r="D34" s="316" t="s">
        <v>307</v>
      </c>
      <c r="E34" s="598"/>
      <c r="F34" s="427">
        <f>'Rate Plan Rates'!G11</f>
        <v>51.01</v>
      </c>
      <c r="G34" s="267">
        <v>397</v>
      </c>
      <c r="H34" s="270">
        <f>ROUND(F34*G34,2)</f>
        <v>20250.97</v>
      </c>
      <c r="M34" s="270"/>
      <c r="N34" s="270"/>
      <c r="O34" s="270"/>
    </row>
    <row r="35" spans="2:15">
      <c r="B35" s="598">
        <f t="shared" si="0"/>
        <v>27</v>
      </c>
      <c r="D35" s="316" t="s">
        <v>186</v>
      </c>
      <c r="E35" s="598"/>
      <c r="F35" s="427">
        <v>0</v>
      </c>
      <c r="G35" s="267">
        <v>101408</v>
      </c>
      <c r="H35" s="270">
        <f>ROUND(F35*G35,2)</f>
        <v>0</v>
      </c>
      <c r="M35" s="270"/>
      <c r="N35" s="270"/>
      <c r="O35" s="270"/>
    </row>
    <row r="36" spans="2:15">
      <c r="B36" s="598">
        <f t="shared" si="0"/>
        <v>28</v>
      </c>
      <c r="D36" s="316" t="s">
        <v>192</v>
      </c>
      <c r="E36" s="598"/>
      <c r="F36" s="308">
        <f>'Rate Plan Rates'!G13</f>
        <v>6.2E-4</v>
      </c>
      <c r="G36" s="267">
        <v>17344756</v>
      </c>
      <c r="H36" s="270">
        <f>ROUND(F36*G36,2)</f>
        <v>10753.75</v>
      </c>
      <c r="M36" s="270"/>
      <c r="N36" s="270"/>
      <c r="O36" s="270"/>
    </row>
    <row r="37" spans="2:15" ht="15">
      <c r="B37" s="598">
        <f t="shared" si="0"/>
        <v>29</v>
      </c>
      <c r="D37" s="316" t="s">
        <v>187</v>
      </c>
      <c r="E37" s="598"/>
      <c r="F37" s="308"/>
      <c r="H37" s="274"/>
      <c r="M37" s="270"/>
      <c r="N37" s="270"/>
      <c r="O37" s="270"/>
    </row>
    <row r="38" spans="2:15" ht="15">
      <c r="B38" s="598">
        <f t="shared" si="0"/>
        <v>30</v>
      </c>
      <c r="D38" s="316" t="s">
        <v>308</v>
      </c>
      <c r="E38" s="598"/>
      <c r="F38" s="308">
        <f>'Rate Plan Rates'!G16</f>
        <v>9.2399999999999999E-3</v>
      </c>
      <c r="G38" s="267">
        <v>8755957</v>
      </c>
      <c r="H38" s="270">
        <f>ROUND(F38*G38,2)</f>
        <v>80905.039999999994</v>
      </c>
      <c r="J38" s="266"/>
      <c r="M38" s="270"/>
      <c r="N38" s="270"/>
      <c r="O38" s="270"/>
    </row>
    <row r="39" spans="2:15" ht="15">
      <c r="B39" s="598">
        <f t="shared" si="0"/>
        <v>31</v>
      </c>
      <c r="D39" s="316" t="s">
        <v>309</v>
      </c>
      <c r="E39" s="598"/>
      <c r="F39" s="308">
        <f>'Rate Plan Rates'!G17</f>
        <v>4.5799999999999999E-3</v>
      </c>
      <c r="G39" s="267">
        <v>4051604</v>
      </c>
      <c r="H39" s="270">
        <f>ROUND(F39*G39,2)</f>
        <v>18556.349999999999</v>
      </c>
      <c r="J39" s="266"/>
      <c r="M39" s="270"/>
      <c r="N39" s="270"/>
      <c r="O39" s="270"/>
    </row>
    <row r="40" spans="2:15" ht="15">
      <c r="B40" s="598">
        <f t="shared" si="0"/>
        <v>32</v>
      </c>
      <c r="D40" s="316" t="s">
        <v>310</v>
      </c>
      <c r="E40" s="598"/>
      <c r="F40" s="308">
        <f>'Rate Plan Rates'!G18</f>
        <v>4.3800000000000002E-3</v>
      </c>
      <c r="G40" s="271">
        <v>4537195</v>
      </c>
      <c r="H40" s="272">
        <f>ROUND(F40*G40,2)</f>
        <v>19872.91</v>
      </c>
      <c r="J40" s="266"/>
      <c r="M40" s="270"/>
      <c r="N40" s="270"/>
      <c r="O40" s="270"/>
    </row>
    <row r="41" spans="2:15">
      <c r="B41" s="598">
        <f t="shared" si="0"/>
        <v>33</v>
      </c>
      <c r="D41" s="316" t="s">
        <v>143</v>
      </c>
      <c r="E41" s="598"/>
      <c r="F41" s="308"/>
      <c r="G41" s="267">
        <f>SUM(G38:G40)</f>
        <v>17344756</v>
      </c>
      <c r="H41" s="270">
        <f>SUM(H34:H40)</f>
        <v>150339.01999999999</v>
      </c>
      <c r="M41" s="270"/>
      <c r="N41" s="270"/>
      <c r="O41" s="270"/>
    </row>
    <row r="42" spans="2:15">
      <c r="B42" s="598">
        <f t="shared" si="0"/>
        <v>34</v>
      </c>
      <c r="E42" s="598"/>
      <c r="F42" s="308"/>
      <c r="H42" s="270"/>
      <c r="M42" s="270"/>
      <c r="N42" s="270"/>
      <c r="O42" s="270"/>
    </row>
    <row r="43" spans="2:15" ht="15">
      <c r="B43" s="598">
        <f t="shared" si="0"/>
        <v>35</v>
      </c>
      <c r="C43" s="316" t="s">
        <v>311</v>
      </c>
      <c r="E43" s="598" t="s">
        <v>243</v>
      </c>
      <c r="F43" s="308"/>
      <c r="H43" s="274"/>
      <c r="M43" s="270"/>
      <c r="N43" s="270"/>
      <c r="O43" s="270"/>
    </row>
    <row r="44" spans="2:15">
      <c r="B44" s="598">
        <f t="shared" si="0"/>
        <v>36</v>
      </c>
      <c r="D44" s="316" t="s">
        <v>307</v>
      </c>
      <c r="E44" s="598"/>
      <c r="F44" s="427">
        <f>'Rate Plan Rates'!G21</f>
        <v>81.62</v>
      </c>
      <c r="G44" s="267">
        <v>1183</v>
      </c>
      <c r="H44" s="270">
        <f>ROUND(F44*G44,2)</f>
        <v>96556.46</v>
      </c>
      <c r="M44" s="270"/>
      <c r="N44" s="270"/>
      <c r="O44" s="270"/>
    </row>
    <row r="45" spans="2:15">
      <c r="B45" s="598">
        <f t="shared" si="0"/>
        <v>37</v>
      </c>
      <c r="D45" s="316" t="s">
        <v>186</v>
      </c>
      <c r="E45" s="598"/>
      <c r="F45" s="308">
        <v>0</v>
      </c>
      <c r="G45" s="267">
        <v>665050</v>
      </c>
      <c r="H45" s="270">
        <f>ROUND(F45*G45,2)</f>
        <v>0</v>
      </c>
      <c r="M45" s="270"/>
      <c r="N45" s="270"/>
      <c r="O45" s="270"/>
    </row>
    <row r="46" spans="2:15" ht="15">
      <c r="B46" s="598">
        <f t="shared" si="0"/>
        <v>38</v>
      </c>
      <c r="D46" s="316" t="s">
        <v>187</v>
      </c>
      <c r="E46" s="598"/>
      <c r="F46" s="308"/>
      <c r="H46" s="274"/>
      <c r="M46" s="270"/>
      <c r="N46" s="270"/>
      <c r="O46" s="270"/>
    </row>
    <row r="47" spans="2:15">
      <c r="B47" s="598">
        <f t="shared" si="0"/>
        <v>39</v>
      </c>
      <c r="D47" s="316" t="s">
        <v>308</v>
      </c>
      <c r="E47" s="598"/>
      <c r="F47" s="308">
        <f>'Rate Plan Rates'!G25</f>
        <v>9.2399999999999999E-3</v>
      </c>
      <c r="G47" s="267">
        <v>27027671</v>
      </c>
      <c r="H47" s="270">
        <f>ROUND(F47*G47,2)</f>
        <v>249735.67999999999</v>
      </c>
      <c r="M47" s="270"/>
      <c r="N47" s="270"/>
      <c r="O47" s="270"/>
    </row>
    <row r="48" spans="2:15">
      <c r="B48" s="598">
        <f t="shared" si="0"/>
        <v>40</v>
      </c>
      <c r="D48" s="316" t="s">
        <v>309</v>
      </c>
      <c r="E48" s="598"/>
      <c r="F48" s="308">
        <f>'Rate Plan Rates'!G26</f>
        <v>4.5799999999999999E-3</v>
      </c>
      <c r="G48" s="267">
        <v>18099259</v>
      </c>
      <c r="H48" s="270">
        <f>ROUND(F48*G48,2)</f>
        <v>82894.61</v>
      </c>
      <c r="M48" s="270"/>
      <c r="N48" s="270"/>
      <c r="O48" s="270"/>
    </row>
    <row r="49" spans="2:15">
      <c r="B49" s="598">
        <f t="shared" si="0"/>
        <v>41</v>
      </c>
      <c r="D49" s="316" t="s">
        <v>310</v>
      </c>
      <c r="E49" s="598"/>
      <c r="F49" s="308">
        <f>'Rate Plan Rates'!G27</f>
        <v>4.3800000000000002E-3</v>
      </c>
      <c r="G49" s="271">
        <v>31440202</v>
      </c>
      <c r="H49" s="272">
        <f>ROUND(F49*G49,2)</f>
        <v>137708.07999999999</v>
      </c>
      <c r="M49" s="270"/>
      <c r="N49" s="270"/>
      <c r="O49" s="270"/>
    </row>
    <row r="50" spans="2:15">
      <c r="B50" s="598">
        <f t="shared" si="0"/>
        <v>42</v>
      </c>
      <c r="D50" s="316" t="s">
        <v>143</v>
      </c>
      <c r="E50" s="598"/>
      <c r="F50" s="297"/>
      <c r="G50" s="267">
        <f>SUM(G47:G49)</f>
        <v>76567132</v>
      </c>
      <c r="H50" s="270">
        <f>SUM(H44:H49)</f>
        <v>566894.82999999996</v>
      </c>
      <c r="M50" s="270"/>
      <c r="N50" s="270"/>
      <c r="O50" s="270"/>
    </row>
    <row r="51" spans="2:15">
      <c r="B51" s="598">
        <f t="shared" si="0"/>
        <v>43</v>
      </c>
      <c r="E51" s="598"/>
      <c r="F51" s="297"/>
      <c r="G51" s="267"/>
      <c r="H51" s="270"/>
      <c r="M51" s="270"/>
      <c r="N51" s="270"/>
      <c r="O51" s="270"/>
    </row>
    <row r="52" spans="2:15">
      <c r="B52" s="598">
        <f t="shared" si="0"/>
        <v>44</v>
      </c>
      <c r="D52" s="316" t="s">
        <v>312</v>
      </c>
      <c r="E52" s="598" t="s">
        <v>313</v>
      </c>
      <c r="F52" s="297"/>
      <c r="G52" s="267">
        <f>G41+G50</f>
        <v>93911888</v>
      </c>
      <c r="H52" s="270">
        <f>H41+H50</f>
        <v>717233.85</v>
      </c>
      <c r="M52" s="270"/>
      <c r="N52" s="270"/>
      <c r="O52" s="270"/>
    </row>
    <row r="53" spans="2:15">
      <c r="B53" s="598">
        <f t="shared" si="0"/>
        <v>45</v>
      </c>
      <c r="E53" s="598"/>
      <c r="F53" s="297"/>
      <c r="G53" s="267"/>
      <c r="H53" s="270"/>
      <c r="M53" s="270"/>
      <c r="N53" s="270"/>
      <c r="O53" s="270"/>
    </row>
    <row r="54" spans="2:15" ht="15">
      <c r="B54" s="598">
        <f t="shared" si="0"/>
        <v>46</v>
      </c>
      <c r="C54" s="316" t="s">
        <v>314</v>
      </c>
      <c r="E54" s="598">
        <v>86</v>
      </c>
      <c r="F54" s="297"/>
      <c r="H54" s="274"/>
      <c r="M54" s="270"/>
      <c r="N54" s="270"/>
      <c r="O54" s="270"/>
    </row>
    <row r="55" spans="2:15">
      <c r="B55" s="598">
        <f t="shared" si="0"/>
        <v>47</v>
      </c>
      <c r="D55" s="316" t="s">
        <v>186</v>
      </c>
      <c r="E55" s="598"/>
      <c r="F55" s="427">
        <f>'Total Rate Impact'!F61</f>
        <v>0.1100000000000001</v>
      </c>
      <c r="G55" s="267">
        <v>93477</v>
      </c>
      <c r="H55" s="270">
        <f>ROUND(F55*G55,2)</f>
        <v>10282.469999999999</v>
      </c>
      <c r="M55" s="270"/>
      <c r="N55" s="270"/>
      <c r="O55" s="270"/>
    </row>
    <row r="56" spans="2:15">
      <c r="B56" s="598">
        <f t="shared" si="0"/>
        <v>48</v>
      </c>
      <c r="D56" s="316" t="s">
        <v>192</v>
      </c>
      <c r="E56" s="598"/>
      <c r="F56" s="308">
        <f>'Total Rate Impact'!F62</f>
        <v>6.7000000000000046E-4</v>
      </c>
      <c r="G56" s="267">
        <v>12317849</v>
      </c>
      <c r="H56" s="270">
        <f>ROUND(F56*G56,2)</f>
        <v>8252.9599999999991</v>
      </c>
      <c r="M56" s="270"/>
      <c r="N56" s="270"/>
      <c r="O56" s="270"/>
    </row>
    <row r="57" spans="2:15" ht="15">
      <c r="B57" s="598">
        <f t="shared" si="0"/>
        <v>49</v>
      </c>
      <c r="D57" s="316" t="s">
        <v>187</v>
      </c>
      <c r="E57" s="598"/>
      <c r="F57" s="297"/>
      <c r="H57" s="274"/>
      <c r="M57" s="270"/>
      <c r="N57" s="270"/>
      <c r="O57" s="270"/>
    </row>
    <row r="58" spans="2:15">
      <c r="B58" s="598">
        <f t="shared" si="0"/>
        <v>50</v>
      </c>
      <c r="D58" s="316" t="s">
        <v>193</v>
      </c>
      <c r="E58" s="598"/>
      <c r="F58" s="308">
        <f>'Total Rate Impact'!F64</f>
        <v>1.9719999999999988E-2</v>
      </c>
      <c r="G58" s="267">
        <v>2903910</v>
      </c>
      <c r="H58" s="270">
        <f>ROUND(F58*G58,2)</f>
        <v>57265.11</v>
      </c>
      <c r="M58" s="270"/>
      <c r="N58" s="270"/>
      <c r="O58" s="270"/>
    </row>
    <row r="59" spans="2:15">
      <c r="B59" s="598">
        <f t="shared" si="0"/>
        <v>51</v>
      </c>
      <c r="D59" s="316" t="s">
        <v>315</v>
      </c>
      <c r="E59" s="598"/>
      <c r="F59" s="308">
        <f>'Total Rate Impact'!F65</f>
        <v>1.3979999999999992E-2</v>
      </c>
      <c r="G59" s="271">
        <v>9413939</v>
      </c>
      <c r="H59" s="272">
        <f>ROUND(F59*G59,2)</f>
        <v>131606.87</v>
      </c>
      <c r="M59" s="270"/>
      <c r="N59" s="270"/>
      <c r="O59" s="270"/>
    </row>
    <row r="60" spans="2:15">
      <c r="B60" s="598">
        <f t="shared" si="0"/>
        <v>52</v>
      </c>
      <c r="D60" s="316" t="s">
        <v>143</v>
      </c>
      <c r="E60" s="598"/>
      <c r="F60" s="297"/>
      <c r="G60" s="267">
        <f>SUM(G58:G59)</f>
        <v>12317849</v>
      </c>
      <c r="H60" s="270">
        <f>SUM(H55:H59)</f>
        <v>207407.41</v>
      </c>
      <c r="M60" s="270"/>
      <c r="N60" s="270"/>
      <c r="O60" s="270"/>
    </row>
    <row r="61" spans="2:15">
      <c r="B61" s="598">
        <f t="shared" si="0"/>
        <v>53</v>
      </c>
      <c r="E61" s="598"/>
      <c r="F61" s="297"/>
      <c r="G61" s="267"/>
      <c r="H61" s="270"/>
      <c r="M61" s="270"/>
      <c r="N61" s="270"/>
      <c r="O61" s="270"/>
    </row>
    <row r="62" spans="2:15" ht="15">
      <c r="B62" s="598">
        <f t="shared" si="0"/>
        <v>54</v>
      </c>
      <c r="C62" s="316" t="s">
        <v>316</v>
      </c>
      <c r="E62" s="598" t="s">
        <v>244</v>
      </c>
      <c r="F62" s="297"/>
      <c r="H62" s="274"/>
      <c r="M62" s="270"/>
      <c r="N62" s="270"/>
      <c r="O62" s="270"/>
    </row>
    <row r="63" spans="2:15">
      <c r="B63" s="598">
        <f t="shared" si="0"/>
        <v>55</v>
      </c>
      <c r="D63" s="316" t="s">
        <v>186</v>
      </c>
      <c r="E63" s="598"/>
      <c r="F63" s="427">
        <f>'Total Rate Impact'!F69</f>
        <v>0.1100000000000001</v>
      </c>
      <c r="G63" s="267">
        <v>0</v>
      </c>
      <c r="H63" s="270">
        <f>ROUND(F63*G63,2)</f>
        <v>0</v>
      </c>
      <c r="M63" s="270"/>
      <c r="N63" s="270"/>
      <c r="O63" s="270"/>
    </row>
    <row r="64" spans="2:15" ht="15">
      <c r="B64" s="598">
        <f t="shared" si="0"/>
        <v>56</v>
      </c>
      <c r="D64" s="316" t="s">
        <v>187</v>
      </c>
      <c r="E64" s="598"/>
      <c r="F64" s="297"/>
      <c r="H64" s="274"/>
      <c r="M64" s="270"/>
      <c r="N64" s="270"/>
      <c r="O64" s="270"/>
    </row>
    <row r="65" spans="2:15">
      <c r="B65" s="598">
        <f t="shared" si="0"/>
        <v>57</v>
      </c>
      <c r="D65" s="316" t="s">
        <v>193</v>
      </c>
      <c r="E65" s="598"/>
      <c r="F65" s="308">
        <f>'Total Rate Impact'!F71</f>
        <v>1.9719999999999988E-2</v>
      </c>
      <c r="G65" s="267">
        <v>5459</v>
      </c>
      <c r="H65" s="270">
        <f>ROUND(F65*G65,2)</f>
        <v>107.65</v>
      </c>
      <c r="M65" s="270"/>
      <c r="N65" s="270"/>
      <c r="O65" s="270"/>
    </row>
    <row r="66" spans="2:15">
      <c r="B66" s="598">
        <f t="shared" si="0"/>
        <v>58</v>
      </c>
      <c r="D66" s="316" t="s">
        <v>315</v>
      </c>
      <c r="E66" s="598"/>
      <c r="F66" s="308">
        <f>'Total Rate Impact'!F72</f>
        <v>1.3979999999999992E-2</v>
      </c>
      <c r="G66" s="271">
        <v>21114</v>
      </c>
      <c r="H66" s="272">
        <f>ROUND(F66*G66,2)</f>
        <v>295.17</v>
      </c>
      <c r="M66" s="270"/>
      <c r="N66" s="270"/>
      <c r="O66" s="270"/>
    </row>
    <row r="67" spans="2:15">
      <c r="B67" s="598">
        <f t="shared" si="0"/>
        <v>59</v>
      </c>
      <c r="D67" s="316" t="s">
        <v>143</v>
      </c>
      <c r="E67" s="598"/>
      <c r="F67" s="297"/>
      <c r="G67" s="267">
        <f>SUM(G65:G66)</f>
        <v>26573</v>
      </c>
      <c r="H67" s="270">
        <f>SUM(H63:H66)</f>
        <v>402.82000000000005</v>
      </c>
      <c r="M67" s="270"/>
      <c r="N67" s="270"/>
      <c r="O67" s="270"/>
    </row>
    <row r="68" spans="2:15">
      <c r="B68" s="598">
        <f t="shared" si="0"/>
        <v>60</v>
      </c>
      <c r="E68" s="598"/>
      <c r="F68" s="297"/>
      <c r="G68" s="267"/>
      <c r="H68" s="270"/>
      <c r="M68" s="270"/>
      <c r="N68" s="270"/>
      <c r="O68" s="270"/>
    </row>
    <row r="69" spans="2:15">
      <c r="B69" s="598">
        <f t="shared" si="0"/>
        <v>61</v>
      </c>
      <c r="D69" s="316" t="s">
        <v>317</v>
      </c>
      <c r="E69" s="598" t="s">
        <v>318</v>
      </c>
      <c r="F69" s="297"/>
      <c r="G69" s="267">
        <f>G60+G67</f>
        <v>12344422</v>
      </c>
      <c r="H69" s="270">
        <f t="shared" ref="H69" si="2">H60+H67</f>
        <v>207810.23</v>
      </c>
      <c r="M69" s="270"/>
      <c r="N69" s="270"/>
      <c r="O69" s="270"/>
    </row>
    <row r="70" spans="2:15">
      <c r="B70" s="598">
        <f t="shared" si="0"/>
        <v>62</v>
      </c>
      <c r="E70" s="598"/>
      <c r="F70" s="297"/>
      <c r="G70" s="267"/>
      <c r="H70" s="270"/>
      <c r="M70" s="270"/>
      <c r="N70" s="270"/>
      <c r="O70" s="270"/>
    </row>
    <row r="71" spans="2:15" ht="15">
      <c r="B71" s="598">
        <f t="shared" si="0"/>
        <v>63</v>
      </c>
      <c r="C71" s="316" t="s">
        <v>306</v>
      </c>
      <c r="E71" s="598">
        <v>87</v>
      </c>
      <c r="F71" s="297"/>
      <c r="H71" s="274"/>
      <c r="M71" s="270"/>
      <c r="N71" s="270"/>
      <c r="O71" s="270"/>
    </row>
    <row r="72" spans="2:15">
      <c r="B72" s="598">
        <f t="shared" si="0"/>
        <v>64</v>
      </c>
      <c r="D72" s="316" t="s">
        <v>307</v>
      </c>
      <c r="E72" s="598"/>
      <c r="F72" s="427">
        <f>'Rate Plan Rates'!G30</f>
        <v>52.37</v>
      </c>
      <c r="G72" s="267">
        <v>84</v>
      </c>
      <c r="H72" s="270">
        <f>ROUND(F72*G72,2)</f>
        <v>4399.08</v>
      </c>
      <c r="M72" s="270"/>
      <c r="N72" s="270"/>
      <c r="O72" s="270"/>
    </row>
    <row r="73" spans="2:15">
      <c r="B73" s="598">
        <f t="shared" si="0"/>
        <v>65</v>
      </c>
      <c r="D73" s="316" t="s">
        <v>186</v>
      </c>
      <c r="E73" s="598"/>
      <c r="F73" s="308">
        <v>0</v>
      </c>
      <c r="G73" s="267">
        <v>2184</v>
      </c>
      <c r="H73" s="270">
        <f>ROUND(F73*G73,2)</f>
        <v>0</v>
      </c>
      <c r="M73" s="270"/>
      <c r="N73" s="270"/>
      <c r="O73" s="270"/>
    </row>
    <row r="74" spans="2:15">
      <c r="B74" s="598">
        <f t="shared" si="0"/>
        <v>66</v>
      </c>
      <c r="D74" s="316" t="s">
        <v>192</v>
      </c>
      <c r="E74" s="598"/>
      <c r="F74" s="308">
        <f>'Rate Plan Rates'!G32</f>
        <v>4.8999999999999998E-4</v>
      </c>
      <c r="G74" s="267">
        <v>26567234</v>
      </c>
      <c r="H74" s="270">
        <f>ROUND(F74*G74,2)</f>
        <v>13017.94</v>
      </c>
      <c r="M74" s="270"/>
      <c r="N74" s="270"/>
      <c r="O74" s="270"/>
    </row>
    <row r="75" spans="2:15" ht="15">
      <c r="B75" s="598">
        <f t="shared" ref="B75:B126" si="3">B74+1</f>
        <v>67</v>
      </c>
      <c r="D75" s="316" t="s">
        <v>187</v>
      </c>
      <c r="E75" s="598"/>
      <c r="F75" s="308"/>
      <c r="H75" s="274"/>
      <c r="M75" s="270"/>
      <c r="N75" s="270"/>
      <c r="O75" s="270"/>
    </row>
    <row r="76" spans="2:15">
      <c r="B76" s="598">
        <f t="shared" si="3"/>
        <v>68</v>
      </c>
      <c r="D76" s="316" t="s">
        <v>308</v>
      </c>
      <c r="E76" s="598"/>
      <c r="F76" s="308">
        <f>'Rate Plan Rates'!G35</f>
        <v>1.306E-2</v>
      </c>
      <c r="G76" s="267">
        <v>2100000</v>
      </c>
      <c r="H76" s="270">
        <f t="shared" ref="H76:H81" si="4">ROUND(F76*G76,2)</f>
        <v>27426</v>
      </c>
      <c r="M76" s="270"/>
      <c r="N76" s="270"/>
      <c r="O76" s="270"/>
    </row>
    <row r="77" spans="2:15">
      <c r="B77" s="598">
        <f t="shared" si="3"/>
        <v>69</v>
      </c>
      <c r="D77" s="316" t="s">
        <v>309</v>
      </c>
      <c r="E77" s="598"/>
      <c r="F77" s="308">
        <f>'Rate Plan Rates'!G36</f>
        <v>7.9000000000000008E-3</v>
      </c>
      <c r="G77" s="267">
        <v>2055807</v>
      </c>
      <c r="H77" s="270">
        <f t="shared" si="4"/>
        <v>16240.88</v>
      </c>
      <c r="M77" s="270"/>
      <c r="N77" s="270"/>
      <c r="O77" s="270"/>
    </row>
    <row r="78" spans="2:15">
      <c r="B78" s="598">
        <f t="shared" si="3"/>
        <v>70</v>
      </c>
      <c r="D78" s="316" t="s">
        <v>319</v>
      </c>
      <c r="E78" s="598"/>
      <c r="F78" s="308">
        <f>'Rate Plan Rates'!G37</f>
        <v>5.0299999999999997E-3</v>
      </c>
      <c r="G78" s="267">
        <v>3801695</v>
      </c>
      <c r="H78" s="270">
        <f t="shared" si="4"/>
        <v>19122.53</v>
      </c>
      <c r="M78" s="270"/>
      <c r="N78" s="270"/>
      <c r="O78" s="270"/>
    </row>
    <row r="79" spans="2:15">
      <c r="B79" s="598">
        <f t="shared" si="3"/>
        <v>71</v>
      </c>
      <c r="D79" s="316" t="s">
        <v>267</v>
      </c>
      <c r="E79" s="598"/>
      <c r="F79" s="308">
        <f>'Rate Plan Rates'!G38</f>
        <v>3.2200000000000002E-3</v>
      </c>
      <c r="G79" s="267">
        <v>5152762</v>
      </c>
      <c r="H79" s="270">
        <f t="shared" si="4"/>
        <v>16591.89</v>
      </c>
      <c r="M79" s="270"/>
      <c r="N79" s="270"/>
      <c r="O79" s="270"/>
    </row>
    <row r="80" spans="2:15" ht="14">
      <c r="B80" s="598">
        <f t="shared" si="3"/>
        <v>72</v>
      </c>
      <c r="D80" s="602" t="s">
        <v>268</v>
      </c>
      <c r="E80" s="598"/>
      <c r="F80" s="308">
        <f>'Rate Plan Rates'!G39</f>
        <v>2.32E-3</v>
      </c>
      <c r="G80" s="267">
        <v>4864411</v>
      </c>
      <c r="H80" s="270">
        <f t="shared" si="4"/>
        <v>11285.43</v>
      </c>
      <c r="M80" s="270"/>
      <c r="N80" s="270"/>
      <c r="O80" s="270"/>
    </row>
    <row r="81" spans="2:15">
      <c r="B81" s="598">
        <f t="shared" si="3"/>
        <v>73</v>
      </c>
      <c r="D81" s="316" t="s">
        <v>320</v>
      </c>
      <c r="E81" s="598"/>
      <c r="F81" s="308">
        <f>'Rate Plan Rates'!G40</f>
        <v>1.7799999999999999E-3</v>
      </c>
      <c r="G81" s="271">
        <v>8592559</v>
      </c>
      <c r="H81" s="272">
        <f t="shared" si="4"/>
        <v>15294.76</v>
      </c>
      <c r="M81" s="270"/>
      <c r="N81" s="270"/>
      <c r="O81" s="270"/>
    </row>
    <row r="82" spans="2:15">
      <c r="B82" s="598">
        <f t="shared" si="3"/>
        <v>74</v>
      </c>
      <c r="D82" s="316" t="s">
        <v>143</v>
      </c>
      <c r="E82" s="598"/>
      <c r="F82" s="308"/>
      <c r="G82" s="267">
        <f>SUM(G76:G81)</f>
        <v>26567234</v>
      </c>
      <c r="H82" s="270">
        <f>SUM(H72:H81)</f>
        <v>123378.51</v>
      </c>
      <c r="M82" s="270"/>
      <c r="N82" s="270"/>
      <c r="O82" s="270"/>
    </row>
    <row r="83" spans="2:15">
      <c r="B83" s="598">
        <f t="shared" si="3"/>
        <v>75</v>
      </c>
      <c r="E83" s="598"/>
      <c r="F83" s="308"/>
      <c r="G83" s="267"/>
      <c r="H83" s="270"/>
      <c r="M83" s="270"/>
      <c r="N83" s="270"/>
      <c r="O83" s="270"/>
    </row>
    <row r="84" spans="2:15" ht="15">
      <c r="B84" s="598">
        <f t="shared" si="3"/>
        <v>76</v>
      </c>
      <c r="C84" s="316" t="s">
        <v>311</v>
      </c>
      <c r="E84" s="598" t="s">
        <v>245</v>
      </c>
      <c r="F84" s="308"/>
      <c r="H84" s="274"/>
      <c r="M84" s="270"/>
      <c r="N84" s="270"/>
      <c r="O84" s="270"/>
    </row>
    <row r="85" spans="2:15">
      <c r="B85" s="598">
        <f t="shared" si="3"/>
        <v>77</v>
      </c>
      <c r="D85" s="316" t="s">
        <v>307</v>
      </c>
      <c r="E85" s="598"/>
      <c r="F85" s="427">
        <f>'Rate Plan Rates'!G43</f>
        <v>83.78</v>
      </c>
      <c r="G85" s="267">
        <v>118</v>
      </c>
      <c r="H85" s="270">
        <f>ROUND(F85*G85,2)</f>
        <v>9886.0400000000009</v>
      </c>
      <c r="M85" s="270"/>
      <c r="N85" s="270"/>
      <c r="O85" s="270"/>
    </row>
    <row r="86" spans="2:15">
      <c r="B86" s="598">
        <f t="shared" si="3"/>
        <v>78</v>
      </c>
      <c r="D86" s="316" t="s">
        <v>186</v>
      </c>
      <c r="E86" s="598"/>
      <c r="F86" s="308">
        <v>0</v>
      </c>
      <c r="G86" s="267">
        <v>332988</v>
      </c>
      <c r="H86" s="270">
        <f>ROUND(F86*G86,2)</f>
        <v>0</v>
      </c>
      <c r="M86" s="270"/>
      <c r="N86" s="270"/>
      <c r="O86" s="270"/>
    </row>
    <row r="87" spans="2:15" ht="15">
      <c r="B87" s="598">
        <f t="shared" si="3"/>
        <v>79</v>
      </c>
      <c r="D87" s="316" t="s">
        <v>187</v>
      </c>
      <c r="E87" s="598"/>
      <c r="F87" s="308"/>
      <c r="H87" s="274"/>
      <c r="M87" s="270"/>
      <c r="N87" s="270"/>
      <c r="O87" s="270"/>
    </row>
    <row r="88" spans="2:15">
      <c r="B88" s="598">
        <f t="shared" si="3"/>
        <v>80</v>
      </c>
      <c r="D88" s="316" t="s">
        <v>308</v>
      </c>
      <c r="E88" s="598"/>
      <c r="F88" s="308">
        <f>'Rate Plan Rates'!G47</f>
        <v>1.306E-2</v>
      </c>
      <c r="G88" s="267">
        <v>2925980</v>
      </c>
      <c r="H88" s="270">
        <f t="shared" ref="H88:H93" si="5">ROUND(F88*G88,2)</f>
        <v>38213.300000000003</v>
      </c>
      <c r="M88" s="270"/>
      <c r="N88" s="270"/>
      <c r="O88" s="270"/>
    </row>
    <row r="89" spans="2:15">
      <c r="B89" s="598">
        <f t="shared" si="3"/>
        <v>81</v>
      </c>
      <c r="D89" s="316" t="s">
        <v>309</v>
      </c>
      <c r="E89" s="598"/>
      <c r="F89" s="308">
        <f>'Rate Plan Rates'!G48</f>
        <v>7.9000000000000008E-3</v>
      </c>
      <c r="G89" s="267">
        <v>2885234</v>
      </c>
      <c r="H89" s="270">
        <f t="shared" si="5"/>
        <v>22793.35</v>
      </c>
      <c r="M89" s="270"/>
      <c r="N89" s="270"/>
      <c r="O89" s="270"/>
    </row>
    <row r="90" spans="2:15">
      <c r="B90" s="598">
        <f t="shared" si="3"/>
        <v>82</v>
      </c>
      <c r="D90" s="316" t="s">
        <v>319</v>
      </c>
      <c r="E90" s="598"/>
      <c r="F90" s="308">
        <f>'Rate Plan Rates'!G49</f>
        <v>5.0299999999999997E-3</v>
      </c>
      <c r="G90" s="267">
        <v>5700000</v>
      </c>
      <c r="H90" s="270">
        <f t="shared" si="5"/>
        <v>28671</v>
      </c>
      <c r="M90" s="270"/>
      <c r="N90" s="270"/>
      <c r="O90" s="270"/>
    </row>
    <row r="91" spans="2:15">
      <c r="B91" s="598">
        <f t="shared" si="3"/>
        <v>83</v>
      </c>
      <c r="D91" s="316" t="s">
        <v>267</v>
      </c>
      <c r="E91" s="598"/>
      <c r="F91" s="308">
        <f>'Rate Plan Rates'!G50</f>
        <v>3.2200000000000002E-3</v>
      </c>
      <c r="G91" s="267">
        <v>11216700</v>
      </c>
      <c r="H91" s="270">
        <f t="shared" si="5"/>
        <v>36117.769999999997</v>
      </c>
      <c r="M91" s="270"/>
      <c r="N91" s="270"/>
      <c r="O91" s="270"/>
    </row>
    <row r="92" spans="2:15" ht="14">
      <c r="B92" s="598">
        <f t="shared" si="3"/>
        <v>84</v>
      </c>
      <c r="D92" s="602" t="s">
        <v>268</v>
      </c>
      <c r="E92" s="598"/>
      <c r="F92" s="308">
        <f>'Rate Plan Rates'!G51</f>
        <v>2.32E-3</v>
      </c>
      <c r="G92" s="267">
        <v>28237241</v>
      </c>
      <c r="H92" s="270">
        <f t="shared" si="5"/>
        <v>65510.400000000001</v>
      </c>
      <c r="M92" s="270"/>
      <c r="N92" s="270"/>
      <c r="O92" s="270"/>
    </row>
    <row r="93" spans="2:15">
      <c r="B93" s="598">
        <f t="shared" si="3"/>
        <v>85</v>
      </c>
      <c r="D93" s="316" t="s">
        <v>320</v>
      </c>
      <c r="E93" s="598"/>
      <c r="F93" s="308">
        <f>'Rate Plan Rates'!G52</f>
        <v>1.7799999999999999E-3</v>
      </c>
      <c r="G93" s="271">
        <v>36815683</v>
      </c>
      <c r="H93" s="272">
        <f t="shared" si="5"/>
        <v>65531.92</v>
      </c>
      <c r="M93" s="270"/>
      <c r="N93" s="270"/>
      <c r="O93" s="270"/>
    </row>
    <row r="94" spans="2:15">
      <c r="B94" s="598">
        <f t="shared" si="3"/>
        <v>86</v>
      </c>
      <c r="D94" s="316" t="s">
        <v>143</v>
      </c>
      <c r="E94" s="598"/>
      <c r="F94" s="297"/>
      <c r="G94" s="267">
        <f>SUM(G88:G93)</f>
        <v>87780838</v>
      </c>
      <c r="H94" s="270">
        <f>SUM(H85:H93)</f>
        <v>266723.77999999997</v>
      </c>
      <c r="M94" s="270"/>
      <c r="N94" s="270"/>
      <c r="O94" s="270"/>
    </row>
    <row r="95" spans="2:15">
      <c r="B95" s="598">
        <f t="shared" si="3"/>
        <v>87</v>
      </c>
      <c r="E95" s="598"/>
      <c r="F95" s="297"/>
      <c r="G95" s="267"/>
      <c r="H95" s="270"/>
      <c r="M95" s="270"/>
      <c r="N95" s="270"/>
      <c r="O95" s="270"/>
    </row>
    <row r="96" spans="2:15">
      <c r="B96" s="598">
        <f t="shared" si="3"/>
        <v>88</v>
      </c>
      <c r="D96" s="316" t="s">
        <v>321</v>
      </c>
      <c r="E96" s="598" t="s">
        <v>322</v>
      </c>
      <c r="F96" s="297"/>
      <c r="G96" s="267">
        <f>G82+G94</f>
        <v>114348072</v>
      </c>
      <c r="H96" s="270">
        <f t="shared" ref="H96" si="6">H82+H94</f>
        <v>390102.29</v>
      </c>
      <c r="M96" s="270"/>
      <c r="N96" s="270"/>
      <c r="O96" s="270"/>
    </row>
    <row r="97" spans="2:15">
      <c r="B97" s="598">
        <f t="shared" si="3"/>
        <v>89</v>
      </c>
      <c r="E97" s="598"/>
      <c r="F97" s="297"/>
      <c r="G97" s="267"/>
      <c r="H97" s="270"/>
      <c r="M97" s="270"/>
      <c r="N97" s="270"/>
      <c r="O97" s="270"/>
    </row>
    <row r="98" spans="2:15">
      <c r="B98" s="598">
        <f t="shared" si="3"/>
        <v>90</v>
      </c>
      <c r="C98" s="316" t="s">
        <v>404</v>
      </c>
      <c r="E98" s="598"/>
      <c r="F98" s="297"/>
      <c r="G98" s="267"/>
      <c r="H98" s="270"/>
      <c r="M98" s="270"/>
      <c r="N98" s="270"/>
      <c r="O98" s="270"/>
    </row>
    <row r="99" spans="2:15">
      <c r="B99" s="598">
        <f t="shared" si="3"/>
        <v>91</v>
      </c>
      <c r="D99" s="316" t="s">
        <v>405</v>
      </c>
      <c r="E99" s="316" t="s">
        <v>406</v>
      </c>
      <c r="F99" s="426">
        <v>0.68</v>
      </c>
      <c r="G99" s="267">
        <v>16696</v>
      </c>
      <c r="H99" s="270">
        <f t="shared" ref="H99:H104" si="7">ROUND(F99*G99,2)</f>
        <v>11353.28</v>
      </c>
      <c r="M99" s="270"/>
      <c r="N99" s="270"/>
      <c r="O99" s="270"/>
    </row>
    <row r="100" spans="2:15">
      <c r="B100" s="598">
        <f t="shared" si="3"/>
        <v>92</v>
      </c>
      <c r="D100" s="316" t="s">
        <v>407</v>
      </c>
      <c r="E100" s="316" t="s">
        <v>408</v>
      </c>
      <c r="F100" s="426">
        <v>1.1200000000000001</v>
      </c>
      <c r="G100" s="267">
        <v>265595</v>
      </c>
      <c r="H100" s="270">
        <f t="shared" si="7"/>
        <v>297466.40000000002</v>
      </c>
      <c r="M100" s="270"/>
      <c r="N100" s="270"/>
      <c r="O100" s="270"/>
    </row>
    <row r="101" spans="2:15">
      <c r="B101" s="598">
        <f t="shared" si="3"/>
        <v>93</v>
      </c>
      <c r="D101" s="316" t="s">
        <v>409</v>
      </c>
      <c r="E101" s="316" t="s">
        <v>410</v>
      </c>
      <c r="F101" s="426">
        <v>1.58</v>
      </c>
      <c r="G101" s="267">
        <v>48629</v>
      </c>
      <c r="H101" s="270">
        <f t="shared" si="7"/>
        <v>76833.820000000007</v>
      </c>
      <c r="M101" s="270"/>
      <c r="N101" s="270"/>
      <c r="O101" s="270"/>
    </row>
    <row r="102" spans="2:15">
      <c r="B102" s="598">
        <f t="shared" si="3"/>
        <v>94</v>
      </c>
      <c r="D102" s="316" t="s">
        <v>411</v>
      </c>
      <c r="E102" s="316" t="s">
        <v>412</v>
      </c>
      <c r="F102" s="426">
        <v>1.54</v>
      </c>
      <c r="G102" s="267">
        <v>12371</v>
      </c>
      <c r="H102" s="270">
        <f t="shared" si="7"/>
        <v>19051.34</v>
      </c>
      <c r="M102" s="270"/>
      <c r="N102" s="270"/>
      <c r="O102" s="270"/>
    </row>
    <row r="103" spans="2:15">
      <c r="B103" s="598">
        <f t="shared" si="3"/>
        <v>95</v>
      </c>
      <c r="D103" s="316" t="s">
        <v>413</v>
      </c>
      <c r="E103" s="316" t="s">
        <v>414</v>
      </c>
      <c r="F103" s="426">
        <v>0.54</v>
      </c>
      <c r="G103" s="267">
        <v>52953</v>
      </c>
      <c r="H103" s="270">
        <f t="shared" si="7"/>
        <v>28594.62</v>
      </c>
      <c r="M103" s="270"/>
      <c r="N103" s="270"/>
      <c r="O103" s="270"/>
    </row>
    <row r="104" spans="2:15">
      <c r="B104" s="598">
        <f t="shared" si="3"/>
        <v>96</v>
      </c>
      <c r="D104" s="316" t="s">
        <v>415</v>
      </c>
      <c r="E104" s="316" t="s">
        <v>416</v>
      </c>
      <c r="F104" s="426">
        <v>0.98</v>
      </c>
      <c r="G104" s="271">
        <v>2910</v>
      </c>
      <c r="H104" s="272">
        <f t="shared" si="7"/>
        <v>2851.8</v>
      </c>
      <c r="M104" s="270"/>
      <c r="N104" s="270"/>
      <c r="O104" s="270"/>
    </row>
    <row r="105" spans="2:15">
      <c r="B105" s="598">
        <f t="shared" si="3"/>
        <v>97</v>
      </c>
      <c r="D105" s="316" t="s">
        <v>226</v>
      </c>
      <c r="E105" s="598"/>
      <c r="F105" s="297"/>
      <c r="G105" s="267">
        <f>SUM(G99:G104)</f>
        <v>399154</v>
      </c>
      <c r="H105" s="270">
        <f>SUM(H99:H104)</f>
        <v>436151.26000000007</v>
      </c>
      <c r="M105" s="270"/>
      <c r="N105" s="270"/>
      <c r="O105" s="270"/>
    </row>
    <row r="106" spans="2:15">
      <c r="B106" s="598">
        <f t="shared" si="3"/>
        <v>98</v>
      </c>
      <c r="E106" s="598"/>
      <c r="F106" s="297"/>
      <c r="G106" s="267"/>
      <c r="H106" s="270"/>
      <c r="M106" s="270"/>
      <c r="N106" s="270"/>
      <c r="O106" s="270"/>
    </row>
    <row r="107" spans="2:15">
      <c r="B107" s="598">
        <f t="shared" si="3"/>
        <v>99</v>
      </c>
      <c r="C107" s="316" t="s">
        <v>417</v>
      </c>
      <c r="E107" s="598"/>
      <c r="F107" s="297"/>
      <c r="G107" s="267"/>
      <c r="H107" s="270"/>
      <c r="M107" s="270"/>
      <c r="N107" s="270"/>
      <c r="O107" s="270"/>
    </row>
    <row r="108" spans="2:15">
      <c r="B108" s="598">
        <f t="shared" si="3"/>
        <v>100</v>
      </c>
      <c r="D108" s="316" t="s">
        <v>418</v>
      </c>
      <c r="E108" s="316" t="s">
        <v>419</v>
      </c>
      <c r="F108" s="426">
        <v>1.37</v>
      </c>
      <c r="G108" s="267">
        <v>2044</v>
      </c>
      <c r="H108" s="270">
        <f t="shared" ref="H108:H114" si="8">ROUND(F108*G108,2)</f>
        <v>2800.28</v>
      </c>
      <c r="M108" s="270"/>
      <c r="N108" s="270"/>
      <c r="O108" s="270"/>
    </row>
    <row r="109" spans="2:15">
      <c r="B109" s="598">
        <f t="shared" si="3"/>
        <v>101</v>
      </c>
      <c r="D109" s="316" t="s">
        <v>420</v>
      </c>
      <c r="E109" s="316" t="s">
        <v>421</v>
      </c>
      <c r="F109" s="426">
        <v>1.82</v>
      </c>
      <c r="G109" s="267">
        <v>1333</v>
      </c>
      <c r="H109" s="270">
        <f t="shared" si="8"/>
        <v>2426.06</v>
      </c>
      <c r="M109" s="270"/>
      <c r="N109" s="270"/>
      <c r="O109" s="270"/>
    </row>
    <row r="110" spans="2:15">
      <c r="B110" s="598">
        <f t="shared" si="3"/>
        <v>102</v>
      </c>
      <c r="D110" s="316" t="s">
        <v>422</v>
      </c>
      <c r="E110" s="316" t="s">
        <v>423</v>
      </c>
      <c r="F110" s="426">
        <v>1.82</v>
      </c>
      <c r="G110" s="267">
        <v>3916</v>
      </c>
      <c r="H110" s="270">
        <f t="shared" si="8"/>
        <v>7127.12</v>
      </c>
      <c r="M110" s="270"/>
      <c r="N110" s="270"/>
      <c r="O110" s="270"/>
    </row>
    <row r="111" spans="2:15">
      <c r="B111" s="598">
        <f t="shared" si="3"/>
        <v>103</v>
      </c>
      <c r="D111" s="316" t="s">
        <v>424</v>
      </c>
      <c r="E111" s="316" t="s">
        <v>425</v>
      </c>
      <c r="F111" s="426">
        <v>2.85</v>
      </c>
      <c r="G111" s="267">
        <v>202</v>
      </c>
      <c r="H111" s="270">
        <f t="shared" si="8"/>
        <v>575.70000000000005</v>
      </c>
      <c r="M111" s="270"/>
      <c r="N111" s="270"/>
      <c r="O111" s="270"/>
    </row>
    <row r="112" spans="2:15">
      <c r="B112" s="598">
        <f t="shared" si="3"/>
        <v>104</v>
      </c>
      <c r="D112" s="316" t="s">
        <v>426</v>
      </c>
      <c r="E112" s="316" t="s">
        <v>427</v>
      </c>
      <c r="F112" s="426">
        <v>3.72</v>
      </c>
      <c r="G112" s="267">
        <v>8764</v>
      </c>
      <c r="H112" s="270">
        <f t="shared" si="8"/>
        <v>32602.080000000002</v>
      </c>
      <c r="M112" s="270"/>
      <c r="N112" s="270"/>
      <c r="O112" s="270"/>
    </row>
    <row r="113" spans="2:15">
      <c r="B113" s="598">
        <f t="shared" si="3"/>
        <v>105</v>
      </c>
      <c r="D113" s="316" t="s">
        <v>428</v>
      </c>
      <c r="E113" s="316" t="s">
        <v>429</v>
      </c>
      <c r="F113" s="426">
        <v>4.99</v>
      </c>
      <c r="G113" s="267">
        <v>5652</v>
      </c>
      <c r="H113" s="270">
        <f t="shared" si="8"/>
        <v>28203.48</v>
      </c>
      <c r="M113" s="270"/>
      <c r="N113" s="270"/>
      <c r="O113" s="270"/>
    </row>
    <row r="114" spans="2:15">
      <c r="B114" s="598">
        <f t="shared" si="3"/>
        <v>106</v>
      </c>
      <c r="D114" s="316" t="s">
        <v>430</v>
      </c>
      <c r="E114" s="316" t="s">
        <v>431</v>
      </c>
      <c r="F114" s="426">
        <v>5.81</v>
      </c>
      <c r="G114" s="271">
        <v>15906</v>
      </c>
      <c r="H114" s="272">
        <f t="shared" si="8"/>
        <v>92413.86</v>
      </c>
      <c r="M114" s="270"/>
      <c r="N114" s="270"/>
      <c r="O114" s="270"/>
    </row>
    <row r="115" spans="2:15">
      <c r="B115" s="598">
        <f t="shared" si="3"/>
        <v>107</v>
      </c>
      <c r="D115" s="316" t="s">
        <v>432</v>
      </c>
      <c r="E115" s="598"/>
      <c r="F115" s="297"/>
      <c r="G115" s="267">
        <f>SUM(G108:G114)</f>
        <v>37817</v>
      </c>
      <c r="H115" s="270">
        <f>SUM(H108:H114)</f>
        <v>166148.58000000002</v>
      </c>
      <c r="M115" s="270"/>
      <c r="N115" s="270"/>
      <c r="O115" s="270"/>
    </row>
    <row r="116" spans="2:15">
      <c r="B116" s="598">
        <f t="shared" si="3"/>
        <v>108</v>
      </c>
      <c r="E116" s="598"/>
      <c r="F116" s="297"/>
      <c r="G116" s="267"/>
      <c r="H116" s="270"/>
      <c r="M116" s="270"/>
      <c r="N116" s="270"/>
      <c r="O116" s="270"/>
    </row>
    <row r="117" spans="2:15">
      <c r="B117" s="598">
        <f t="shared" si="3"/>
        <v>109</v>
      </c>
      <c r="C117" s="316" t="s">
        <v>433</v>
      </c>
      <c r="E117" s="598"/>
      <c r="F117" s="297"/>
      <c r="G117" s="267"/>
      <c r="H117" s="270"/>
      <c r="M117" s="270"/>
      <c r="N117" s="270"/>
      <c r="O117" s="270"/>
    </row>
    <row r="118" spans="2:15">
      <c r="B118" s="598">
        <f t="shared" si="3"/>
        <v>110</v>
      </c>
      <c r="D118" s="316" t="s">
        <v>434</v>
      </c>
      <c r="E118" s="316" t="s">
        <v>435</v>
      </c>
      <c r="F118" s="426">
        <v>0.94</v>
      </c>
      <c r="G118" s="267">
        <v>18367</v>
      </c>
      <c r="H118" s="270">
        <f>ROUND(F118*G118,2)</f>
        <v>17264.98</v>
      </c>
      <c r="M118" s="270"/>
      <c r="N118" s="270"/>
      <c r="O118" s="270"/>
    </row>
    <row r="119" spans="2:15">
      <c r="B119" s="598">
        <f t="shared" si="3"/>
        <v>111</v>
      </c>
      <c r="D119" s="316" t="s">
        <v>436</v>
      </c>
      <c r="E119" s="316" t="s">
        <v>437</v>
      </c>
      <c r="F119" s="426">
        <v>2.5499999999999998</v>
      </c>
      <c r="G119" s="267">
        <v>1146</v>
      </c>
      <c r="H119" s="270">
        <f>ROUND(F119*G119,2)</f>
        <v>2922.3</v>
      </c>
      <c r="M119" s="270"/>
      <c r="N119" s="270"/>
      <c r="O119" s="270"/>
    </row>
    <row r="120" spans="2:15">
      <c r="B120" s="598">
        <f t="shared" si="3"/>
        <v>112</v>
      </c>
      <c r="D120" s="316" t="s">
        <v>438</v>
      </c>
      <c r="E120" s="316" t="s">
        <v>439</v>
      </c>
      <c r="F120" s="426">
        <v>3.45</v>
      </c>
      <c r="G120" s="267">
        <v>637</v>
      </c>
      <c r="H120" s="270">
        <f>ROUND(F120*G120,2)</f>
        <v>2197.65</v>
      </c>
      <c r="M120" s="270"/>
      <c r="N120" s="270"/>
      <c r="O120" s="270"/>
    </row>
    <row r="121" spans="2:15">
      <c r="B121" s="598">
        <f t="shared" si="3"/>
        <v>113</v>
      </c>
      <c r="D121" s="316" t="s">
        <v>440</v>
      </c>
      <c r="E121" s="316" t="s">
        <v>441</v>
      </c>
      <c r="F121" s="426">
        <v>1.43</v>
      </c>
      <c r="G121" s="271">
        <v>32084</v>
      </c>
      <c r="H121" s="272">
        <f>ROUND(F121*G121,2)</f>
        <v>45880.12</v>
      </c>
      <c r="M121" s="270"/>
      <c r="N121" s="270"/>
      <c r="O121" s="270"/>
    </row>
    <row r="122" spans="2:15">
      <c r="B122" s="598">
        <f t="shared" si="3"/>
        <v>114</v>
      </c>
      <c r="D122" s="316" t="s">
        <v>432</v>
      </c>
      <c r="E122" s="598"/>
      <c r="F122" s="297"/>
      <c r="G122" s="267">
        <f>SUM(G118:G121)</f>
        <v>52234</v>
      </c>
      <c r="H122" s="270">
        <f>SUM(H118:H121)</f>
        <v>68265.05</v>
      </c>
      <c r="M122" s="270"/>
      <c r="N122" s="270"/>
      <c r="O122" s="270"/>
    </row>
    <row r="123" spans="2:15">
      <c r="B123" s="598">
        <f t="shared" si="3"/>
        <v>115</v>
      </c>
      <c r="E123" s="598"/>
      <c r="F123" s="297"/>
      <c r="G123" s="267"/>
      <c r="H123" s="270"/>
      <c r="M123" s="270"/>
      <c r="N123" s="270"/>
      <c r="O123" s="270"/>
    </row>
    <row r="124" spans="2:15">
      <c r="B124" s="598">
        <f t="shared" si="3"/>
        <v>116</v>
      </c>
      <c r="D124" s="316" t="s">
        <v>442</v>
      </c>
      <c r="E124" s="598" t="s">
        <v>443</v>
      </c>
      <c r="F124" s="297"/>
      <c r="G124" s="267">
        <f>SUM(G105,G115,G122)</f>
        <v>489205</v>
      </c>
      <c r="H124" s="270">
        <f>SUM(H105,H115,H122)</f>
        <v>670564.89000000013</v>
      </c>
      <c r="M124" s="270"/>
      <c r="N124" s="270"/>
      <c r="O124" s="270"/>
    </row>
    <row r="125" spans="2:15">
      <c r="B125" s="598">
        <f t="shared" si="3"/>
        <v>117</v>
      </c>
      <c r="E125" s="598"/>
      <c r="F125" s="297"/>
      <c r="G125" s="267"/>
      <c r="H125" s="270"/>
      <c r="M125" s="270"/>
      <c r="N125" s="270"/>
      <c r="O125" s="270"/>
    </row>
    <row r="126" spans="2:15">
      <c r="B126" s="598">
        <f t="shared" si="3"/>
        <v>118</v>
      </c>
      <c r="D126" s="316" t="s">
        <v>143</v>
      </c>
      <c r="E126" s="598"/>
      <c r="F126" s="297"/>
      <c r="G126" s="267">
        <f>G12+G14+G21+G29+G41+G50+G60+G67+G82+G94</f>
        <v>1052847911</v>
      </c>
      <c r="H126" s="270">
        <f>H10+H12+H14+H21+H29+H41+H50+H60+H67+H82+H94+H124</f>
        <v>31521194.109999999</v>
      </c>
      <c r="M126" s="270"/>
      <c r="N126" s="270"/>
      <c r="O126" s="270"/>
    </row>
    <row r="127" spans="2:15">
      <c r="N127" s="270"/>
    </row>
    <row r="128" spans="2:15">
      <c r="B128" s="276" t="s">
        <v>444</v>
      </c>
      <c r="C128" s="315" t="s">
        <v>445</v>
      </c>
      <c r="D128" s="601"/>
      <c r="N128" s="270"/>
    </row>
    <row r="129" spans="2:14" ht="12.75" customHeight="1">
      <c r="B129" s="276"/>
      <c r="C129" s="628"/>
      <c r="D129" s="629"/>
      <c r="E129" s="629"/>
      <c r="F129" s="629"/>
      <c r="G129" s="629"/>
      <c r="H129" s="629"/>
      <c r="N129" s="270"/>
    </row>
    <row r="130" spans="2:14">
      <c r="C130" s="315"/>
      <c r="N130" s="270"/>
    </row>
    <row r="131" spans="2:14">
      <c r="N131" s="270"/>
    </row>
    <row r="132" spans="2:14">
      <c r="N132" s="270"/>
    </row>
    <row r="133" spans="2:14">
      <c r="N133" s="270"/>
    </row>
    <row r="134" spans="2:14">
      <c r="N134" s="270"/>
    </row>
    <row r="135" spans="2:14">
      <c r="N135" s="270"/>
    </row>
    <row r="136" spans="2:14">
      <c r="N136" s="270"/>
    </row>
    <row r="137" spans="2:14">
      <c r="N137" s="270"/>
    </row>
    <row r="138" spans="2:14">
      <c r="N138" s="270"/>
    </row>
    <row r="139" spans="2:14">
      <c r="N139" s="270"/>
    </row>
    <row r="140" spans="2:14">
      <c r="N140" s="270"/>
    </row>
    <row r="141" spans="2:14">
      <c r="N141" s="270"/>
    </row>
    <row r="142" spans="2:14">
      <c r="N142" s="270"/>
    </row>
    <row r="143" spans="2:14">
      <c r="N143" s="270"/>
    </row>
    <row r="144" spans="2:14">
      <c r="N144" s="270"/>
    </row>
    <row r="145" spans="14:14">
      <c r="N145" s="270"/>
    </row>
    <row r="146" spans="14:14">
      <c r="N146" s="270"/>
    </row>
    <row r="147" spans="14:14">
      <c r="N147" s="270"/>
    </row>
    <row r="148" spans="14:14">
      <c r="N148" s="270"/>
    </row>
    <row r="149" spans="14:14">
      <c r="N149" s="270"/>
    </row>
    <row r="150" spans="14:14">
      <c r="N150" s="270"/>
    </row>
    <row r="151" spans="14:14">
      <c r="N151" s="270"/>
    </row>
    <row r="152" spans="14:14">
      <c r="N152" s="270"/>
    </row>
    <row r="153" spans="14:14">
      <c r="N153" s="270"/>
    </row>
    <row r="154" spans="14:14">
      <c r="N154" s="270"/>
    </row>
    <row r="155" spans="14:14">
      <c r="N155" s="270"/>
    </row>
    <row r="156" spans="14:14">
      <c r="N156" s="270"/>
    </row>
    <row r="157" spans="14:14">
      <c r="N157" s="270"/>
    </row>
    <row r="158" spans="14:14">
      <c r="N158" s="270"/>
    </row>
    <row r="159" spans="14:14">
      <c r="N159" s="270"/>
    </row>
    <row r="160" spans="14:14">
      <c r="N160" s="270"/>
    </row>
    <row r="161" spans="14:14">
      <c r="N161" s="270"/>
    </row>
    <row r="162" spans="14:14">
      <c r="N162" s="270"/>
    </row>
    <row r="163" spans="14:14">
      <c r="N163" s="270"/>
    </row>
    <row r="164" spans="14:14">
      <c r="N164" s="270"/>
    </row>
    <row r="165" spans="14:14">
      <c r="N165" s="270"/>
    </row>
    <row r="166" spans="14:14">
      <c r="N166" s="270"/>
    </row>
  </sheetData>
  <mergeCells count="3">
    <mergeCell ref="B2:H2"/>
    <mergeCell ref="C7:D7"/>
    <mergeCell ref="C129:H129"/>
  </mergeCells>
  <printOptions horizontalCentered="1"/>
  <pageMargins left="0.7" right="0.7" top="0.75" bottom="0.75" header="0.3" footer="0.3"/>
  <pageSetup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1" manualBreakCount="1">
    <brk id="69" min="1"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M52"/>
  <sheetViews>
    <sheetView zoomScale="50" workbookViewId="0">
      <selection activeCell="I68" sqref="I68"/>
    </sheetView>
  </sheetViews>
  <sheetFormatPr baseColWidth="10" defaultColWidth="9.1640625" defaultRowHeight="15" customHeight="1"/>
  <cols>
    <col min="1" max="1" width="5.5" style="322" bestFit="1" customWidth="1"/>
    <col min="2" max="2" width="3.33203125" style="322" customWidth="1"/>
    <col min="3" max="3" width="51" style="213" customWidth="1"/>
    <col min="4" max="4" width="9.83203125" style="213" bestFit="1" customWidth="1"/>
    <col min="5" max="5" width="17.33203125" style="213" customWidth="1"/>
    <col min="6" max="7" width="17.33203125" style="322" customWidth="1"/>
    <col min="8" max="16384" width="9.1640625" style="322"/>
  </cols>
  <sheetData>
    <row r="1" spans="1:13" ht="15" customHeight="1">
      <c r="A1" s="609" t="s">
        <v>22</v>
      </c>
      <c r="B1" s="609"/>
      <c r="C1" s="609"/>
      <c r="D1" s="609"/>
      <c r="E1" s="609"/>
      <c r="F1" s="609"/>
      <c r="G1" s="609"/>
      <c r="H1" s="257"/>
      <c r="I1" s="257"/>
      <c r="J1" s="257"/>
    </row>
    <row r="2" spans="1:13" ht="15" customHeight="1">
      <c r="A2" s="616" t="str">
        <f>'Rate Change Calc'!A2</f>
        <v>2016 Gas Decoupling Filing</v>
      </c>
      <c r="B2" s="616"/>
      <c r="C2" s="616"/>
      <c r="D2" s="616"/>
      <c r="E2" s="616"/>
      <c r="F2" s="616"/>
      <c r="G2" s="616"/>
      <c r="H2" s="257"/>
      <c r="I2" s="257"/>
      <c r="J2" s="257"/>
    </row>
    <row r="3" spans="1:13" ht="15" customHeight="1">
      <c r="A3" s="609" t="s">
        <v>446</v>
      </c>
      <c r="B3" s="609"/>
      <c r="C3" s="609"/>
      <c r="D3" s="609"/>
      <c r="E3" s="609"/>
      <c r="F3" s="609"/>
      <c r="G3" s="609"/>
      <c r="H3" s="257"/>
      <c r="I3" s="257"/>
      <c r="J3" s="257"/>
    </row>
    <row r="4" spans="1:13" ht="15" customHeight="1">
      <c r="B4" s="616"/>
      <c r="C4" s="616"/>
      <c r="D4" s="616"/>
      <c r="E4" s="616"/>
      <c r="F4" s="226"/>
      <c r="G4" s="226"/>
      <c r="H4" s="226"/>
      <c r="I4" s="226"/>
      <c r="J4" s="226"/>
      <c r="K4" s="201"/>
      <c r="L4" s="201"/>
      <c r="M4" s="201"/>
    </row>
    <row r="5" spans="1:13" ht="15" customHeight="1">
      <c r="B5" s="595"/>
      <c r="C5" s="595"/>
      <c r="D5" s="595"/>
      <c r="E5" s="595"/>
      <c r="F5" s="226"/>
      <c r="G5" s="226"/>
      <c r="H5" s="226"/>
      <c r="I5" s="226"/>
      <c r="J5" s="226"/>
      <c r="K5" s="201"/>
      <c r="L5" s="201"/>
      <c r="M5" s="201"/>
    </row>
    <row r="6" spans="1:13" ht="15" customHeight="1">
      <c r="B6" s="366"/>
      <c r="C6" s="366"/>
      <c r="D6" s="366"/>
      <c r="E6" s="423" t="s">
        <v>252</v>
      </c>
      <c r="F6" s="423" t="s">
        <v>169</v>
      </c>
      <c r="G6" s="423" t="s">
        <v>447</v>
      </c>
      <c r="H6" s="226"/>
      <c r="I6" s="226"/>
      <c r="J6" s="226"/>
      <c r="K6" s="201"/>
      <c r="L6" s="201"/>
      <c r="M6" s="201"/>
    </row>
    <row r="7" spans="1:13" ht="15" customHeight="1">
      <c r="A7" s="594" t="s">
        <v>168</v>
      </c>
      <c r="C7" s="423"/>
      <c r="D7" s="423"/>
      <c r="E7" s="423" t="s">
        <v>177</v>
      </c>
      <c r="F7" s="423" t="s">
        <v>177</v>
      </c>
      <c r="G7" s="423" t="s">
        <v>177</v>
      </c>
      <c r="H7" s="257"/>
      <c r="I7" s="257"/>
      <c r="J7" s="257"/>
    </row>
    <row r="8" spans="1:13" ht="15" customHeight="1">
      <c r="A8" s="289" t="s">
        <v>172</v>
      </c>
      <c r="B8" s="367"/>
      <c r="C8" s="599" t="s">
        <v>448</v>
      </c>
      <c r="D8" s="599" t="s">
        <v>173</v>
      </c>
      <c r="E8" s="599" t="s">
        <v>449</v>
      </c>
      <c r="F8" s="599" t="s">
        <v>450</v>
      </c>
      <c r="G8" s="599" t="s">
        <v>451</v>
      </c>
      <c r="H8" s="257"/>
      <c r="I8" s="257"/>
      <c r="J8" s="257"/>
    </row>
    <row r="9" spans="1:13" ht="15" customHeight="1">
      <c r="A9" s="170"/>
      <c r="B9" s="213"/>
      <c r="C9" s="423" t="s">
        <v>30</v>
      </c>
      <c r="D9" s="423" t="s">
        <v>31</v>
      </c>
      <c r="E9" s="392" t="s">
        <v>32</v>
      </c>
      <c r="F9" s="202" t="s">
        <v>33</v>
      </c>
      <c r="G9" s="202" t="s">
        <v>145</v>
      </c>
      <c r="H9" s="257"/>
      <c r="I9" s="257"/>
      <c r="J9" s="257"/>
    </row>
    <row r="10" spans="1:13" ht="15" customHeight="1">
      <c r="A10" s="392">
        <v>1</v>
      </c>
      <c r="B10" s="96" t="s">
        <v>452</v>
      </c>
      <c r="C10" s="97"/>
      <c r="D10" s="98"/>
      <c r="E10" s="368"/>
    </row>
    <row r="11" spans="1:13" ht="15" customHeight="1">
      <c r="A11" s="392">
        <f>A10+1</f>
        <v>2</v>
      </c>
      <c r="B11" s="96"/>
      <c r="C11" s="97" t="s">
        <v>3</v>
      </c>
      <c r="D11" s="98" t="s">
        <v>453</v>
      </c>
      <c r="E11" s="428">
        <v>24.95</v>
      </c>
      <c r="F11" s="428">
        <v>37.840000000000003</v>
      </c>
      <c r="G11" s="428">
        <v>51.01</v>
      </c>
    </row>
    <row r="12" spans="1:13" ht="15" customHeight="1">
      <c r="A12" s="392">
        <f t="shared" ref="A12:A52" si="0">A11+1</f>
        <v>3</v>
      </c>
      <c r="B12" s="97"/>
      <c r="C12" s="106" t="s">
        <v>186</v>
      </c>
      <c r="D12" s="106" t="s">
        <v>454</v>
      </c>
      <c r="E12" s="428">
        <v>0</v>
      </c>
      <c r="F12" s="428">
        <v>0</v>
      </c>
      <c r="G12" s="428">
        <v>0</v>
      </c>
    </row>
    <row r="13" spans="1:13" ht="15" customHeight="1">
      <c r="A13" s="392">
        <f t="shared" si="0"/>
        <v>4</v>
      </c>
      <c r="B13" s="97"/>
      <c r="C13" s="106" t="s">
        <v>192</v>
      </c>
      <c r="D13" s="106" t="s">
        <v>230</v>
      </c>
      <c r="E13" s="429">
        <v>2.9999999999999997E-4</v>
      </c>
      <c r="F13" s="429">
        <v>4.6000000000000001E-4</v>
      </c>
      <c r="G13" s="429">
        <v>6.2E-4</v>
      </c>
    </row>
    <row r="14" spans="1:13" ht="15" customHeight="1">
      <c r="A14" s="392">
        <f t="shared" si="0"/>
        <v>5</v>
      </c>
      <c r="B14" s="97"/>
      <c r="C14" s="106"/>
      <c r="D14" s="106"/>
      <c r="E14" s="429"/>
      <c r="F14" s="429"/>
      <c r="G14" s="429"/>
    </row>
    <row r="15" spans="1:13" ht="15" customHeight="1">
      <c r="A15" s="392">
        <f t="shared" si="0"/>
        <v>6</v>
      </c>
      <c r="B15" s="97"/>
      <c r="C15" s="106" t="s">
        <v>187</v>
      </c>
      <c r="D15" s="106"/>
      <c r="E15" s="429"/>
      <c r="F15" s="429"/>
      <c r="G15" s="429"/>
    </row>
    <row r="16" spans="1:13" ht="15" customHeight="1">
      <c r="A16" s="392">
        <f t="shared" si="0"/>
        <v>7</v>
      </c>
      <c r="B16" s="97"/>
      <c r="C16" s="106" t="s">
        <v>261</v>
      </c>
      <c r="D16" s="106" t="s">
        <v>230</v>
      </c>
      <c r="E16" s="429">
        <v>4.5199999999999997E-3</v>
      </c>
      <c r="F16" s="429">
        <v>6.8500000000000002E-3</v>
      </c>
      <c r="G16" s="429">
        <v>9.2399999999999999E-3</v>
      </c>
    </row>
    <row r="17" spans="1:7" ht="15" customHeight="1">
      <c r="A17" s="392">
        <f t="shared" si="0"/>
        <v>8</v>
      </c>
      <c r="B17" s="97"/>
      <c r="C17" s="106" t="s">
        <v>262</v>
      </c>
      <c r="D17" s="106" t="s">
        <v>230</v>
      </c>
      <c r="E17" s="429">
        <v>2.2399999999999998E-3</v>
      </c>
      <c r="F17" s="429">
        <v>3.3999999999999998E-3</v>
      </c>
      <c r="G17" s="429">
        <v>4.5799999999999999E-3</v>
      </c>
    </row>
    <row r="18" spans="1:7" ht="15" customHeight="1">
      <c r="A18" s="392">
        <f t="shared" si="0"/>
        <v>9</v>
      </c>
      <c r="B18" s="97"/>
      <c r="C18" s="106" t="s">
        <v>263</v>
      </c>
      <c r="D18" s="106" t="s">
        <v>230</v>
      </c>
      <c r="E18" s="429">
        <v>2.14E-3</v>
      </c>
      <c r="F18" s="429">
        <v>3.2499999999999999E-3</v>
      </c>
      <c r="G18" s="429">
        <v>4.3800000000000002E-3</v>
      </c>
    </row>
    <row r="19" spans="1:7" ht="15" customHeight="1">
      <c r="A19" s="392">
        <f t="shared" si="0"/>
        <v>10</v>
      </c>
      <c r="B19" s="97"/>
      <c r="C19" s="98"/>
      <c r="D19" s="98"/>
      <c r="E19" s="429"/>
      <c r="F19" s="429"/>
      <c r="G19" s="429"/>
    </row>
    <row r="20" spans="1:7" ht="15" customHeight="1">
      <c r="A20" s="392">
        <f t="shared" si="0"/>
        <v>11</v>
      </c>
      <c r="B20" s="96" t="s">
        <v>455</v>
      </c>
      <c r="C20" s="97"/>
      <c r="D20" s="98"/>
      <c r="E20" s="429"/>
      <c r="F20" s="429"/>
      <c r="G20" s="429"/>
    </row>
    <row r="21" spans="1:7" ht="15" customHeight="1">
      <c r="A21" s="392">
        <f t="shared" si="0"/>
        <v>12</v>
      </c>
      <c r="B21" s="96"/>
      <c r="C21" s="97" t="s">
        <v>3</v>
      </c>
      <c r="D21" s="98" t="s">
        <v>453</v>
      </c>
      <c r="E21" s="428">
        <v>39.92</v>
      </c>
      <c r="F21" s="428">
        <v>60.54</v>
      </c>
      <c r="G21" s="428">
        <v>81.62</v>
      </c>
    </row>
    <row r="22" spans="1:7" ht="15" customHeight="1">
      <c r="A22" s="392">
        <f t="shared" si="0"/>
        <v>13</v>
      </c>
      <c r="B22" s="97"/>
      <c r="C22" s="106" t="s">
        <v>186</v>
      </c>
      <c r="D22" s="106" t="s">
        <v>454</v>
      </c>
      <c r="E22" s="428">
        <v>0</v>
      </c>
      <c r="F22" s="428">
        <v>0</v>
      </c>
      <c r="G22" s="428">
        <v>0</v>
      </c>
    </row>
    <row r="23" spans="1:7" ht="15" customHeight="1">
      <c r="A23" s="392">
        <f t="shared" si="0"/>
        <v>14</v>
      </c>
      <c r="B23" s="97"/>
      <c r="C23" s="106"/>
      <c r="D23" s="106"/>
      <c r="E23" s="429"/>
      <c r="F23" s="429"/>
      <c r="G23" s="429"/>
    </row>
    <row r="24" spans="1:7" ht="15" customHeight="1">
      <c r="A24" s="392">
        <f t="shared" si="0"/>
        <v>15</v>
      </c>
      <c r="B24" s="97"/>
      <c r="C24" s="106" t="s">
        <v>187</v>
      </c>
      <c r="D24" s="106"/>
      <c r="E24" s="429"/>
      <c r="F24" s="429"/>
      <c r="G24" s="429"/>
    </row>
    <row r="25" spans="1:7" ht="15" customHeight="1">
      <c r="A25" s="392">
        <f t="shared" si="0"/>
        <v>16</v>
      </c>
      <c r="B25" s="97"/>
      <c r="C25" s="106" t="s">
        <v>261</v>
      </c>
      <c r="D25" s="106" t="s">
        <v>230</v>
      </c>
      <c r="E25" s="429">
        <v>4.5199999999999997E-3</v>
      </c>
      <c r="F25" s="429">
        <v>6.8500000000000002E-3</v>
      </c>
      <c r="G25" s="429">
        <v>9.2399999999999999E-3</v>
      </c>
    </row>
    <row r="26" spans="1:7" ht="15" customHeight="1">
      <c r="A26" s="392">
        <f t="shared" si="0"/>
        <v>17</v>
      </c>
      <c r="B26" s="97"/>
      <c r="C26" s="106" t="s">
        <v>262</v>
      </c>
      <c r="D26" s="106" t="s">
        <v>230</v>
      </c>
      <c r="E26" s="429">
        <v>2.2399999999999998E-3</v>
      </c>
      <c r="F26" s="429">
        <v>3.3999999999999998E-3</v>
      </c>
      <c r="G26" s="429">
        <v>4.5799999999999999E-3</v>
      </c>
    </row>
    <row r="27" spans="1:7" ht="15" customHeight="1">
      <c r="A27" s="392">
        <f t="shared" si="0"/>
        <v>18</v>
      </c>
      <c r="B27" s="97"/>
      <c r="C27" s="106" t="s">
        <v>265</v>
      </c>
      <c r="D27" s="106" t="s">
        <v>230</v>
      </c>
      <c r="E27" s="429">
        <v>2.14E-3</v>
      </c>
      <c r="F27" s="429">
        <v>3.2499999999999999E-3</v>
      </c>
      <c r="G27" s="429">
        <v>4.3800000000000002E-3</v>
      </c>
    </row>
    <row r="28" spans="1:7" ht="15" customHeight="1">
      <c r="A28" s="392">
        <f t="shared" si="0"/>
        <v>19</v>
      </c>
      <c r="B28" s="213"/>
      <c r="C28" s="10"/>
      <c r="D28" s="10"/>
      <c r="E28" s="429"/>
      <c r="F28" s="429"/>
      <c r="G28" s="429"/>
    </row>
    <row r="29" spans="1:7" ht="15" customHeight="1">
      <c r="A29" s="392">
        <f t="shared" si="0"/>
        <v>20</v>
      </c>
      <c r="B29" s="96" t="s">
        <v>456</v>
      </c>
      <c r="C29" s="97"/>
      <c r="D29" s="98"/>
      <c r="E29" s="430"/>
      <c r="F29" s="430"/>
      <c r="G29" s="430"/>
    </row>
    <row r="30" spans="1:7" ht="15" customHeight="1">
      <c r="A30" s="392">
        <f t="shared" si="0"/>
        <v>21</v>
      </c>
      <c r="B30" s="96"/>
      <c r="C30" s="97" t="s">
        <v>3</v>
      </c>
      <c r="D30" s="98" t="s">
        <v>453</v>
      </c>
      <c r="E30" s="428">
        <v>25.62</v>
      </c>
      <c r="F30" s="428">
        <v>38.85</v>
      </c>
      <c r="G30" s="428">
        <v>52.37</v>
      </c>
    </row>
    <row r="31" spans="1:7" ht="15" customHeight="1">
      <c r="A31" s="392">
        <f t="shared" si="0"/>
        <v>22</v>
      </c>
      <c r="B31" s="97"/>
      <c r="C31" s="106" t="s">
        <v>186</v>
      </c>
      <c r="D31" s="106" t="s">
        <v>454</v>
      </c>
      <c r="E31" s="428">
        <v>0</v>
      </c>
      <c r="F31" s="428">
        <v>0</v>
      </c>
      <c r="G31" s="428">
        <v>0</v>
      </c>
    </row>
    <row r="32" spans="1:7" ht="15" customHeight="1">
      <c r="A32" s="392">
        <f t="shared" si="0"/>
        <v>23</v>
      </c>
      <c r="B32" s="97"/>
      <c r="C32" s="106" t="s">
        <v>192</v>
      </c>
      <c r="D32" s="106" t="s">
        <v>230</v>
      </c>
      <c r="E32" s="429">
        <v>2.4000000000000001E-4</v>
      </c>
      <c r="F32" s="429">
        <v>3.6000000000000002E-4</v>
      </c>
      <c r="G32" s="429">
        <v>4.8999999999999998E-4</v>
      </c>
    </row>
    <row r="33" spans="1:7" ht="15" customHeight="1">
      <c r="A33" s="392">
        <f t="shared" si="0"/>
        <v>24</v>
      </c>
      <c r="B33" s="97"/>
      <c r="C33" s="106"/>
      <c r="D33" s="106"/>
      <c r="E33" s="429"/>
      <c r="F33" s="429"/>
      <c r="G33" s="429"/>
    </row>
    <row r="34" spans="1:7" ht="15" customHeight="1">
      <c r="A34" s="392">
        <f t="shared" si="0"/>
        <v>25</v>
      </c>
      <c r="B34" s="97"/>
      <c r="C34" s="106" t="s">
        <v>187</v>
      </c>
      <c r="D34" s="106"/>
      <c r="E34" s="429"/>
      <c r="F34" s="429"/>
      <c r="G34" s="429"/>
    </row>
    <row r="35" spans="1:7" ht="15" customHeight="1">
      <c r="A35" s="392">
        <f t="shared" si="0"/>
        <v>26</v>
      </c>
      <c r="B35" s="97"/>
      <c r="C35" s="106" t="s">
        <v>261</v>
      </c>
      <c r="D35" s="106" t="s">
        <v>230</v>
      </c>
      <c r="E35" s="429">
        <v>6.3899999999999998E-3</v>
      </c>
      <c r="F35" s="429">
        <v>9.6900000000000007E-3</v>
      </c>
      <c r="G35" s="429">
        <v>1.306E-2</v>
      </c>
    </row>
    <row r="36" spans="1:7" ht="15" customHeight="1">
      <c r="A36" s="392">
        <f t="shared" si="0"/>
        <v>27</v>
      </c>
      <c r="B36" s="97"/>
      <c r="C36" s="106" t="s">
        <v>262</v>
      </c>
      <c r="D36" s="106" t="s">
        <v>230</v>
      </c>
      <c r="E36" s="429">
        <v>3.8600000000000001E-3</v>
      </c>
      <c r="F36" s="429">
        <v>5.8599999999999998E-3</v>
      </c>
      <c r="G36" s="429">
        <v>7.9000000000000008E-3</v>
      </c>
    </row>
    <row r="37" spans="1:7" ht="15" customHeight="1">
      <c r="A37" s="392">
        <f t="shared" si="0"/>
        <v>28</v>
      </c>
      <c r="B37" s="97"/>
      <c r="C37" s="106" t="s">
        <v>265</v>
      </c>
      <c r="D37" s="106" t="s">
        <v>230</v>
      </c>
      <c r="E37" s="429">
        <v>2.4599999999999999E-3</v>
      </c>
      <c r="F37" s="429">
        <v>3.7299999999999998E-3</v>
      </c>
      <c r="G37" s="429">
        <v>5.0299999999999997E-3</v>
      </c>
    </row>
    <row r="38" spans="1:7" ht="15" customHeight="1">
      <c r="A38" s="392">
        <f t="shared" si="0"/>
        <v>29</v>
      </c>
      <c r="B38" s="97"/>
      <c r="C38" s="106" t="s">
        <v>267</v>
      </c>
      <c r="D38" s="106" t="s">
        <v>230</v>
      </c>
      <c r="E38" s="429">
        <v>1.58E-3</v>
      </c>
      <c r="F38" s="429">
        <v>2.3900000000000002E-3</v>
      </c>
      <c r="G38" s="429">
        <v>3.2200000000000002E-3</v>
      </c>
    </row>
    <row r="39" spans="1:7" ht="15" customHeight="1">
      <c r="A39" s="392">
        <f t="shared" si="0"/>
        <v>30</v>
      </c>
      <c r="B39" s="97"/>
      <c r="C39" s="106" t="s">
        <v>268</v>
      </c>
      <c r="D39" s="106" t="s">
        <v>230</v>
      </c>
      <c r="E39" s="429">
        <v>1.1299999999999999E-3</v>
      </c>
      <c r="F39" s="429">
        <v>1.72E-3</v>
      </c>
      <c r="G39" s="429">
        <v>2.32E-3</v>
      </c>
    </row>
    <row r="40" spans="1:7" ht="15" customHeight="1">
      <c r="A40" s="392">
        <f t="shared" si="0"/>
        <v>31</v>
      </c>
      <c r="B40" s="97"/>
      <c r="C40" s="106" t="s">
        <v>269</v>
      </c>
      <c r="D40" s="106" t="s">
        <v>230</v>
      </c>
      <c r="E40" s="429">
        <v>8.7000000000000001E-4</v>
      </c>
      <c r="F40" s="429">
        <v>1.32E-3</v>
      </c>
      <c r="G40" s="429">
        <v>1.7799999999999999E-3</v>
      </c>
    </row>
    <row r="41" spans="1:7" ht="15" customHeight="1">
      <c r="A41" s="392">
        <f t="shared" si="0"/>
        <v>32</v>
      </c>
      <c r="B41" s="97"/>
      <c r="C41" s="98"/>
      <c r="D41" s="98"/>
      <c r="E41" s="429"/>
      <c r="F41" s="429"/>
      <c r="G41" s="429"/>
    </row>
    <row r="42" spans="1:7" ht="15" customHeight="1">
      <c r="A42" s="392">
        <f t="shared" si="0"/>
        <v>33</v>
      </c>
      <c r="B42" s="96" t="s">
        <v>457</v>
      </c>
      <c r="C42" s="97"/>
      <c r="D42" s="98"/>
      <c r="E42" s="429"/>
      <c r="F42" s="429"/>
      <c r="G42" s="429"/>
    </row>
    <row r="43" spans="1:7" ht="15" customHeight="1">
      <c r="A43" s="392">
        <f t="shared" si="0"/>
        <v>34</v>
      </c>
      <c r="B43" s="96"/>
      <c r="C43" s="97" t="s">
        <v>3</v>
      </c>
      <c r="D43" s="98" t="s">
        <v>453</v>
      </c>
      <c r="E43" s="428">
        <v>40.98</v>
      </c>
      <c r="F43" s="428">
        <v>62.15</v>
      </c>
      <c r="G43" s="428">
        <v>83.78</v>
      </c>
    </row>
    <row r="44" spans="1:7" ht="15" customHeight="1">
      <c r="A44" s="392">
        <f t="shared" si="0"/>
        <v>35</v>
      </c>
      <c r="B44" s="106"/>
      <c r="C44" s="106" t="s">
        <v>186</v>
      </c>
      <c r="D44" s="106" t="s">
        <v>454</v>
      </c>
      <c r="E44" s="428">
        <v>0</v>
      </c>
      <c r="F44" s="428">
        <v>0</v>
      </c>
      <c r="G44" s="428">
        <v>0</v>
      </c>
    </row>
    <row r="45" spans="1:7" ht="15" customHeight="1">
      <c r="A45" s="392">
        <f t="shared" si="0"/>
        <v>36</v>
      </c>
      <c r="B45" s="106"/>
      <c r="C45" s="99"/>
      <c r="D45" s="106"/>
      <c r="E45" s="429"/>
      <c r="F45" s="429"/>
      <c r="G45" s="429"/>
    </row>
    <row r="46" spans="1:7" ht="15" customHeight="1">
      <c r="A46" s="392">
        <f t="shared" si="0"/>
        <v>37</v>
      </c>
      <c r="B46" s="106"/>
      <c r="C46" s="106" t="s">
        <v>187</v>
      </c>
      <c r="D46" s="106"/>
      <c r="E46" s="429"/>
      <c r="F46" s="429"/>
      <c r="G46" s="429"/>
    </row>
    <row r="47" spans="1:7" ht="15" customHeight="1">
      <c r="A47" s="392">
        <f t="shared" si="0"/>
        <v>38</v>
      </c>
      <c r="B47" s="106"/>
      <c r="C47" s="106" t="s">
        <v>261</v>
      </c>
      <c r="D47" s="106" t="s">
        <v>230</v>
      </c>
      <c r="E47" s="429">
        <v>6.3899999999999998E-3</v>
      </c>
      <c r="F47" s="429">
        <v>9.6900000000000007E-3</v>
      </c>
      <c r="G47" s="429">
        <v>1.306E-2</v>
      </c>
    </row>
    <row r="48" spans="1:7" ht="15" customHeight="1">
      <c r="A48" s="392">
        <f t="shared" si="0"/>
        <v>39</v>
      </c>
      <c r="B48" s="106"/>
      <c r="C48" s="106" t="s">
        <v>262</v>
      </c>
      <c r="D48" s="106" t="s">
        <v>230</v>
      </c>
      <c r="E48" s="429">
        <v>3.8600000000000001E-3</v>
      </c>
      <c r="F48" s="429">
        <v>5.8599999999999998E-3</v>
      </c>
      <c r="G48" s="429">
        <v>7.9000000000000008E-3</v>
      </c>
    </row>
    <row r="49" spans="1:7" ht="15" customHeight="1">
      <c r="A49" s="392">
        <f t="shared" si="0"/>
        <v>40</v>
      </c>
      <c r="B49" s="106"/>
      <c r="C49" s="106" t="s">
        <v>265</v>
      </c>
      <c r="D49" s="106" t="s">
        <v>230</v>
      </c>
      <c r="E49" s="429">
        <v>2.4599999999999999E-3</v>
      </c>
      <c r="F49" s="429">
        <v>3.7299999999999998E-3</v>
      </c>
      <c r="G49" s="429">
        <v>5.0299999999999997E-3</v>
      </c>
    </row>
    <row r="50" spans="1:7" ht="15" customHeight="1">
      <c r="A50" s="392">
        <f t="shared" si="0"/>
        <v>41</v>
      </c>
      <c r="B50" s="106"/>
      <c r="C50" s="106" t="s">
        <v>267</v>
      </c>
      <c r="D50" s="106" t="s">
        <v>230</v>
      </c>
      <c r="E50" s="429">
        <v>1.58E-3</v>
      </c>
      <c r="F50" s="429">
        <v>2.3900000000000002E-3</v>
      </c>
      <c r="G50" s="429">
        <v>3.2200000000000002E-3</v>
      </c>
    </row>
    <row r="51" spans="1:7" ht="15" customHeight="1">
      <c r="A51" s="392">
        <f t="shared" si="0"/>
        <v>42</v>
      </c>
      <c r="B51" s="106"/>
      <c r="C51" s="106" t="s">
        <v>268</v>
      </c>
      <c r="D51" s="106" t="s">
        <v>230</v>
      </c>
      <c r="E51" s="429">
        <v>1.1299999999999999E-3</v>
      </c>
      <c r="F51" s="429">
        <v>1.72E-3</v>
      </c>
      <c r="G51" s="429">
        <v>2.32E-3</v>
      </c>
    </row>
    <row r="52" spans="1:7" ht="15" customHeight="1">
      <c r="A52" s="392">
        <f t="shared" si="0"/>
        <v>43</v>
      </c>
      <c r="B52" s="106"/>
      <c r="C52" s="106" t="s">
        <v>269</v>
      </c>
      <c r="D52" s="106" t="s">
        <v>230</v>
      </c>
      <c r="E52" s="429">
        <v>8.7000000000000001E-4</v>
      </c>
      <c r="F52" s="429">
        <v>1.32E-3</v>
      </c>
      <c r="G52" s="429">
        <v>1.7799999999999999E-3</v>
      </c>
    </row>
  </sheetData>
  <mergeCells count="4">
    <mergeCell ref="B4:E4"/>
    <mergeCell ref="A1:G1"/>
    <mergeCell ref="A2:G2"/>
    <mergeCell ref="A3:G3"/>
  </mergeCells>
  <printOptions horizontalCentered="1"/>
  <pageMargins left="0.7" right="0.7" top="0.75" bottom="0.75" header="0.3" footer="0.3"/>
  <pageSetup scale="94"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31"/>
  <sheetViews>
    <sheetView workbookViewId="0">
      <selection activeCell="I68" sqref="I68"/>
    </sheetView>
  </sheetViews>
  <sheetFormatPr baseColWidth="10" defaultColWidth="9.1640625" defaultRowHeight="12.75" customHeight="1"/>
  <cols>
    <col min="1" max="1" width="6" style="316" customWidth="1"/>
    <col min="2" max="2" width="66.6640625" style="316" customWidth="1"/>
    <col min="3" max="3" width="19.5" style="316" bestFit="1" customWidth="1"/>
    <col min="4" max="4" width="17.6640625" style="316" bestFit="1" customWidth="1"/>
    <col min="5" max="5" width="14.5" style="316" bestFit="1" customWidth="1"/>
    <col min="6" max="16384" width="9.1640625" style="316"/>
  </cols>
  <sheetData>
    <row r="1" spans="1:14" ht="12.75" customHeight="1">
      <c r="A1" s="609" t="s">
        <v>22</v>
      </c>
      <c r="B1" s="609"/>
      <c r="C1" s="609"/>
      <c r="D1" s="609"/>
      <c r="E1" s="226"/>
      <c r="F1" s="329"/>
      <c r="G1" s="329"/>
      <c r="H1" s="329"/>
      <c r="I1" s="329"/>
      <c r="J1" s="329"/>
      <c r="K1" s="329"/>
      <c r="L1" s="329"/>
      <c r="M1" s="329"/>
      <c r="N1" s="329"/>
    </row>
    <row r="2" spans="1:14" ht="12.75" customHeight="1">
      <c r="A2" s="616" t="str">
        <f>'Rate Change Calc'!A2:E2</f>
        <v>2016 Gas Decoupling Filing</v>
      </c>
      <c r="B2" s="616"/>
      <c r="C2" s="616"/>
      <c r="D2" s="616"/>
      <c r="E2" s="226"/>
      <c r="F2" s="329"/>
      <c r="G2" s="329"/>
      <c r="H2" s="329"/>
      <c r="I2" s="329"/>
      <c r="J2" s="329"/>
      <c r="K2" s="329"/>
      <c r="L2" s="329"/>
      <c r="M2" s="329"/>
      <c r="N2" s="329"/>
    </row>
    <row r="3" spans="1:14" ht="12.75" customHeight="1">
      <c r="A3" s="609" t="s">
        <v>458</v>
      </c>
      <c r="B3" s="609"/>
      <c r="C3" s="609"/>
      <c r="D3" s="609"/>
      <c r="E3" s="226"/>
      <c r="F3" s="329"/>
      <c r="G3" s="329"/>
      <c r="H3" s="329"/>
      <c r="I3" s="329"/>
      <c r="J3" s="329"/>
      <c r="K3" s="329"/>
      <c r="L3" s="329"/>
      <c r="M3" s="329"/>
      <c r="N3" s="329"/>
    </row>
    <row r="4" spans="1:14" ht="12.75" customHeight="1">
      <c r="A4" s="616" t="str">
        <f>'Rate Change Calc'!A4:E4</f>
        <v>Proposed Effective May 1, 2016</v>
      </c>
      <c r="B4" s="616"/>
      <c r="C4" s="616"/>
      <c r="D4" s="616"/>
      <c r="E4" s="226"/>
      <c r="F4" s="329"/>
      <c r="G4" s="329"/>
      <c r="H4" s="329"/>
      <c r="I4" s="329"/>
      <c r="J4" s="329"/>
      <c r="K4" s="329"/>
      <c r="L4" s="329"/>
      <c r="M4" s="329"/>
      <c r="N4" s="329"/>
    </row>
    <row r="5" spans="1:14" ht="12.75" customHeight="1">
      <c r="A5" s="315"/>
      <c r="B5" s="315"/>
      <c r="C5" s="315"/>
      <c r="D5" s="315"/>
      <c r="E5" s="315"/>
    </row>
    <row r="6" spans="1:14" ht="12.75" customHeight="1">
      <c r="A6" s="315"/>
      <c r="B6" s="315"/>
      <c r="C6" s="315"/>
      <c r="D6" s="315"/>
      <c r="E6" s="315"/>
    </row>
    <row r="7" spans="1:14" ht="25.5" customHeight="1">
      <c r="A7" s="289" t="s">
        <v>26</v>
      </c>
      <c r="B7" s="227"/>
      <c r="C7" s="289" t="s">
        <v>27</v>
      </c>
      <c r="D7" s="289" t="s">
        <v>29</v>
      </c>
      <c r="E7" s="315"/>
    </row>
    <row r="8" spans="1:14" ht="12.75" customHeight="1">
      <c r="A8" s="315"/>
      <c r="B8" s="392" t="s">
        <v>30</v>
      </c>
      <c r="C8" s="392" t="s">
        <v>31</v>
      </c>
      <c r="D8" s="392" t="s">
        <v>32</v>
      </c>
      <c r="E8" s="315"/>
    </row>
    <row r="9" spans="1:14" ht="12.75" customHeight="1">
      <c r="A9" s="392">
        <v>1</v>
      </c>
      <c r="B9" s="228"/>
      <c r="C9" s="392"/>
      <c r="D9" s="392"/>
      <c r="E9" s="315"/>
    </row>
    <row r="10" spans="1:14" ht="12.75" customHeight="1">
      <c r="A10" s="392">
        <f>A9+1</f>
        <v>2</v>
      </c>
      <c r="E10" s="315"/>
    </row>
    <row r="11" spans="1:14" ht="12.75" customHeight="1">
      <c r="A11" s="392">
        <f t="shared" ref="A11:A18" si="0">A10+1</f>
        <v>3</v>
      </c>
      <c r="B11" s="315"/>
      <c r="C11" s="315"/>
      <c r="D11" s="314"/>
      <c r="E11" s="315"/>
    </row>
    <row r="12" spans="1:14" ht="12.75" customHeight="1">
      <c r="A12" s="392">
        <f t="shared" si="0"/>
        <v>4</v>
      </c>
      <c r="B12" s="315" t="s">
        <v>459</v>
      </c>
      <c r="C12" s="392" t="s">
        <v>111</v>
      </c>
      <c r="D12" s="291">
        <f>'Rate Change Calc'!E46</f>
        <v>10903277.311298046</v>
      </c>
      <c r="E12" s="315"/>
    </row>
    <row r="13" spans="1:14" ht="12.75" customHeight="1">
      <c r="A13" s="392">
        <f t="shared" si="0"/>
        <v>5</v>
      </c>
      <c r="B13" s="315"/>
      <c r="C13" s="315"/>
      <c r="D13" s="315"/>
      <c r="E13" s="315"/>
    </row>
    <row r="14" spans="1:14" ht="12.75" customHeight="1">
      <c r="A14" s="392">
        <f t="shared" si="0"/>
        <v>6</v>
      </c>
      <c r="B14" s="315" t="s">
        <v>51</v>
      </c>
      <c r="C14" s="392" t="s">
        <v>111</v>
      </c>
      <c r="D14" s="291">
        <f>'Rate Change Calc'!E34</f>
        <v>101681868.99129806</v>
      </c>
      <c r="E14" s="315"/>
    </row>
    <row r="15" spans="1:14" ht="12.75" customHeight="1">
      <c r="A15" s="392">
        <f t="shared" si="0"/>
        <v>7</v>
      </c>
      <c r="B15" s="315"/>
      <c r="C15" s="315"/>
      <c r="D15" s="285"/>
      <c r="E15" s="315"/>
    </row>
    <row r="16" spans="1:14" ht="12.75" customHeight="1">
      <c r="A16" s="392">
        <f t="shared" si="0"/>
        <v>8</v>
      </c>
      <c r="B16" s="315" t="s">
        <v>61</v>
      </c>
      <c r="C16" s="315"/>
      <c r="D16" s="419">
        <f>ROUND(D12/D14,5)</f>
        <v>0.10723000000000001</v>
      </c>
      <c r="E16" s="315"/>
    </row>
    <row r="17" spans="1:5" ht="12.75" customHeight="1">
      <c r="A17" s="392">
        <f t="shared" si="0"/>
        <v>9</v>
      </c>
      <c r="B17" s="315"/>
      <c r="C17" s="315"/>
      <c r="D17" s="285"/>
      <c r="E17" s="315"/>
    </row>
    <row r="18" spans="1:5" ht="12.75" customHeight="1">
      <c r="A18" s="392">
        <f t="shared" si="0"/>
        <v>10</v>
      </c>
      <c r="B18" s="315" t="s">
        <v>63</v>
      </c>
      <c r="C18" s="315"/>
      <c r="D18" s="285"/>
      <c r="E18" s="315"/>
    </row>
    <row r="19" spans="1:5" ht="12.75" customHeight="1">
      <c r="A19" s="392"/>
      <c r="B19" s="315"/>
      <c r="C19" s="315"/>
      <c r="E19" s="315"/>
    </row>
    <row r="20" spans="1:5" ht="12.75" customHeight="1">
      <c r="A20" s="315"/>
    </row>
    <row r="21" spans="1:5" ht="12.75" customHeight="1">
      <c r="A21" s="315"/>
    </row>
    <row r="22" spans="1:5" ht="12.75" customHeight="1">
      <c r="A22" s="315"/>
    </row>
    <row r="23" spans="1:5" ht="12.75" customHeight="1">
      <c r="A23" s="315"/>
    </row>
    <row r="24" spans="1:5" ht="12.75" customHeight="1">
      <c r="A24" s="315"/>
    </row>
    <row r="25" spans="1:5" ht="12.75" customHeight="1">
      <c r="A25" s="315"/>
    </row>
    <row r="26" spans="1:5" ht="12.75" customHeight="1">
      <c r="A26" s="315"/>
    </row>
    <row r="27" spans="1:5" ht="12.75" customHeight="1">
      <c r="A27" s="315"/>
    </row>
    <row r="28" spans="1:5" ht="12.75" customHeight="1">
      <c r="A28" s="315"/>
    </row>
    <row r="29" spans="1:5" ht="12.75" customHeight="1">
      <c r="A29" s="315"/>
    </row>
    <row r="30" spans="1:5" ht="12.75" customHeight="1">
      <c r="A30" s="315"/>
    </row>
    <row r="31" spans="1:5" ht="12.75" customHeight="1">
      <c r="A31" s="315"/>
    </row>
  </sheetData>
  <mergeCells count="4">
    <mergeCell ref="A1:D1"/>
    <mergeCell ref="A2:D2"/>
    <mergeCell ref="A3:D3"/>
    <mergeCell ref="A4:D4"/>
  </mergeCells>
  <printOptions horizontalCentered="1"/>
  <pageMargins left="0.7" right="0.7" top="0.75" bottom="0.75" header="0.3" footer="0.3"/>
  <pageSetup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X111"/>
  <sheetViews>
    <sheetView zoomScale="50" workbookViewId="0">
      <selection activeCell="I68" sqref="I68"/>
    </sheetView>
  </sheetViews>
  <sheetFormatPr baseColWidth="10" defaultColWidth="9.1640625" defaultRowHeight="15" customHeight="1"/>
  <cols>
    <col min="1" max="1" width="5.5" style="322" bestFit="1" customWidth="1"/>
    <col min="2" max="2" width="3.33203125" style="326" customWidth="1"/>
    <col min="3" max="3" width="29.1640625" style="23" customWidth="1"/>
    <col min="4" max="4" width="9.83203125" style="23" bestFit="1" customWidth="1"/>
    <col min="5" max="5" width="15.83203125" style="23" bestFit="1" customWidth="1"/>
    <col min="6" max="6" width="2.5" style="326" customWidth="1"/>
    <col min="7" max="7" width="13.83203125" style="326" bestFit="1" customWidth="1"/>
    <col min="8" max="8" width="2.5" style="326" customWidth="1"/>
    <col min="9" max="9" width="15.83203125" style="326" bestFit="1" customWidth="1"/>
    <col min="10" max="10" width="2.5" style="326" customWidth="1"/>
    <col min="11" max="11" width="14.83203125" style="326" bestFit="1" customWidth="1"/>
    <col min="12" max="12" width="9.1640625" style="326" customWidth="1"/>
    <col min="13" max="13" width="10.33203125" style="326" bestFit="1" customWidth="1"/>
    <col min="14" max="14" width="11.6640625" style="326" bestFit="1" customWidth="1"/>
    <col min="15" max="15" width="12.1640625" style="326" bestFit="1" customWidth="1"/>
    <col min="16" max="16384" width="9.1640625" style="326"/>
  </cols>
  <sheetData>
    <row r="1" spans="1:24" ht="15" customHeight="1">
      <c r="B1" s="617" t="s">
        <v>22</v>
      </c>
      <c r="C1" s="622"/>
      <c r="D1" s="622"/>
      <c r="E1" s="622"/>
      <c r="F1" s="622"/>
      <c r="G1" s="622"/>
      <c r="H1" s="622"/>
      <c r="I1" s="622"/>
      <c r="J1" s="622"/>
      <c r="K1" s="622"/>
      <c r="L1" s="323"/>
      <c r="M1" s="324"/>
      <c r="N1" s="324"/>
      <c r="O1" s="325"/>
      <c r="P1" s="324"/>
      <c r="Q1" s="324"/>
      <c r="R1" s="324"/>
      <c r="S1" s="324"/>
      <c r="T1" s="324"/>
      <c r="U1" s="324"/>
    </row>
    <row r="2" spans="1:24" ht="15" customHeight="1">
      <c r="B2" s="619" t="str">
        <f>'Rate Change Calc'!A2</f>
        <v>2016 Gas Decoupling Filing</v>
      </c>
      <c r="C2" s="619"/>
      <c r="D2" s="619"/>
      <c r="E2" s="619"/>
      <c r="F2" s="619"/>
      <c r="G2" s="619"/>
      <c r="H2" s="619"/>
      <c r="I2" s="619"/>
      <c r="J2" s="619"/>
      <c r="K2" s="619"/>
      <c r="L2" s="323"/>
      <c r="M2" s="324"/>
      <c r="N2" s="324"/>
      <c r="O2" s="325"/>
      <c r="P2" s="324"/>
      <c r="Q2" s="324"/>
      <c r="R2" s="324"/>
      <c r="S2" s="324"/>
      <c r="T2" s="324"/>
      <c r="U2" s="324"/>
    </row>
    <row r="3" spans="1:24" ht="15" customHeight="1">
      <c r="B3" s="617" t="s">
        <v>460</v>
      </c>
      <c r="C3" s="622"/>
      <c r="D3" s="622"/>
      <c r="E3" s="622"/>
      <c r="F3" s="622"/>
      <c r="G3" s="622"/>
      <c r="H3" s="622"/>
      <c r="I3" s="622"/>
      <c r="J3" s="622"/>
      <c r="K3" s="622"/>
      <c r="L3" s="323"/>
      <c r="M3" s="327"/>
      <c r="N3" s="324"/>
      <c r="O3" s="325"/>
      <c r="P3" s="324"/>
      <c r="Q3" s="324"/>
      <c r="R3" s="324"/>
      <c r="S3" s="324"/>
      <c r="T3" s="324"/>
      <c r="U3" s="324"/>
    </row>
    <row r="4" spans="1:24" ht="15" customHeight="1">
      <c r="B4" s="619" t="str">
        <f>'Rate Change Calc'!A4</f>
        <v>Proposed Effective May 1, 2016</v>
      </c>
      <c r="C4" s="623"/>
      <c r="D4" s="623"/>
      <c r="E4" s="623"/>
      <c r="F4" s="623"/>
      <c r="G4" s="623"/>
      <c r="H4" s="623"/>
      <c r="I4" s="623"/>
      <c r="J4" s="623"/>
      <c r="K4" s="623"/>
      <c r="L4" s="328"/>
      <c r="M4" s="329"/>
      <c r="N4" s="329"/>
      <c r="O4" s="330"/>
      <c r="P4" s="329"/>
      <c r="Q4" s="329"/>
      <c r="R4" s="329"/>
      <c r="S4" s="329"/>
      <c r="T4" s="329"/>
      <c r="U4" s="329"/>
      <c r="V4" s="331"/>
      <c r="W4" s="331"/>
      <c r="X4" s="331"/>
    </row>
    <row r="5" spans="1:24" ht="15" customHeight="1">
      <c r="B5" s="332"/>
      <c r="C5" s="332"/>
      <c r="D5" s="332"/>
      <c r="E5" s="332"/>
      <c r="F5" s="333"/>
      <c r="G5" s="333"/>
      <c r="H5" s="333"/>
      <c r="I5" s="333"/>
      <c r="J5" s="333"/>
      <c r="K5" s="31" t="s">
        <v>171</v>
      </c>
      <c r="L5" s="328"/>
      <c r="M5" s="329"/>
      <c r="N5" s="329"/>
      <c r="O5" s="330"/>
      <c r="P5" s="329"/>
      <c r="Q5" s="329"/>
      <c r="R5" s="329"/>
      <c r="S5" s="329"/>
      <c r="T5" s="329"/>
      <c r="U5" s="329"/>
      <c r="V5" s="331"/>
      <c r="W5" s="331"/>
      <c r="X5" s="331"/>
    </row>
    <row r="6" spans="1:24" ht="15" customHeight="1">
      <c r="A6" s="594" t="s">
        <v>168</v>
      </c>
      <c r="C6" s="31"/>
      <c r="D6" s="31"/>
      <c r="E6" s="443" t="s">
        <v>139</v>
      </c>
      <c r="F6" s="30"/>
      <c r="G6" s="29" t="s">
        <v>169</v>
      </c>
      <c r="H6" s="29"/>
      <c r="I6" s="443" t="s">
        <v>461</v>
      </c>
      <c r="J6" s="28"/>
      <c r="K6" s="299" t="s">
        <v>254</v>
      </c>
      <c r="L6" s="31"/>
      <c r="M6" s="324"/>
      <c r="N6" s="324"/>
      <c r="O6" s="324"/>
      <c r="P6" s="324"/>
      <c r="Q6" s="324"/>
      <c r="R6" s="324"/>
      <c r="S6" s="324"/>
      <c r="T6" s="324"/>
      <c r="U6" s="324"/>
    </row>
    <row r="7" spans="1:24" ht="15" customHeight="1">
      <c r="A7" s="289" t="s">
        <v>172</v>
      </c>
      <c r="B7" s="27"/>
      <c r="C7" s="26"/>
      <c r="D7" s="26" t="s">
        <v>173</v>
      </c>
      <c r="E7" s="26" t="s">
        <v>174</v>
      </c>
      <c r="F7" s="25"/>
      <c r="G7" s="24" t="s">
        <v>462</v>
      </c>
      <c r="H7" s="29"/>
      <c r="I7" s="599" t="s">
        <v>176</v>
      </c>
      <c r="J7" s="327"/>
      <c r="K7" s="26" t="s">
        <v>177</v>
      </c>
      <c r="L7" s="31"/>
      <c r="M7" s="422"/>
      <c r="N7" s="422"/>
      <c r="O7" s="327"/>
      <c r="P7" s="324"/>
      <c r="Q7" s="324"/>
      <c r="R7" s="324"/>
      <c r="S7" s="324"/>
      <c r="T7" s="324"/>
      <c r="U7" s="324"/>
    </row>
    <row r="8" spans="1:24" ht="15" customHeight="1">
      <c r="A8" s="170"/>
      <c r="B8" s="23"/>
      <c r="C8" s="31" t="s">
        <v>30</v>
      </c>
      <c r="D8" s="31" t="s">
        <v>31</v>
      </c>
      <c r="E8" s="31" t="s">
        <v>32</v>
      </c>
      <c r="F8" s="22"/>
      <c r="G8" s="29" t="s">
        <v>33</v>
      </c>
      <c r="H8" s="29"/>
      <c r="I8" s="445" t="s">
        <v>178</v>
      </c>
      <c r="J8" s="445"/>
      <c r="K8" s="445" t="s">
        <v>179</v>
      </c>
      <c r="L8" s="31"/>
      <c r="M8" s="324"/>
      <c r="N8" s="324"/>
      <c r="O8" s="324"/>
      <c r="P8" s="324"/>
      <c r="Q8" s="324"/>
      <c r="R8" s="324"/>
      <c r="S8" s="324"/>
      <c r="T8" s="324"/>
      <c r="U8" s="324"/>
    </row>
    <row r="9" spans="1:24" ht="15" customHeight="1">
      <c r="A9" s="392">
        <v>1</v>
      </c>
      <c r="B9" s="21" t="s">
        <v>180</v>
      </c>
      <c r="C9" s="326"/>
      <c r="D9" s="20"/>
      <c r="E9" s="213"/>
      <c r="F9" s="19"/>
      <c r="G9" s="18"/>
      <c r="H9" s="19"/>
      <c r="I9" s="213"/>
    </row>
    <row r="10" spans="1:24" ht="15" customHeight="1">
      <c r="A10" s="392">
        <f t="shared" ref="A10:A47" si="0">A9+1</f>
        <v>2</v>
      </c>
      <c r="C10" s="23" t="s">
        <v>181</v>
      </c>
      <c r="D10" s="23" t="s">
        <v>182</v>
      </c>
      <c r="E10" s="16">
        <f>'2013 ERF - Rate Design'!I24</f>
        <v>0.30481999999999998</v>
      </c>
      <c r="F10" s="19"/>
      <c r="G10" s="364">
        <f>'Sch142 Amort Rate % Calc'!D16</f>
        <v>0.10723000000000001</v>
      </c>
      <c r="H10" s="19"/>
      <c r="I10" s="15">
        <f>ROUND(E10*(1+G10),5)</f>
        <v>0.33750999999999998</v>
      </c>
      <c r="J10" s="14"/>
      <c r="K10" s="13">
        <f>I10-E10</f>
        <v>3.2689999999999997E-2</v>
      </c>
      <c r="M10" s="424"/>
      <c r="N10" s="13"/>
      <c r="O10" s="13"/>
    </row>
    <row r="11" spans="1:24" ht="15" customHeight="1">
      <c r="A11" s="392">
        <f t="shared" si="0"/>
        <v>3</v>
      </c>
      <c r="E11" s="17"/>
      <c r="F11" s="19"/>
      <c r="G11" s="18"/>
      <c r="H11" s="19"/>
      <c r="I11" s="12"/>
      <c r="M11" s="13"/>
      <c r="N11" s="13"/>
      <c r="O11" s="13"/>
    </row>
    <row r="12" spans="1:24" ht="15" customHeight="1">
      <c r="A12" s="392">
        <f t="shared" si="0"/>
        <v>4</v>
      </c>
      <c r="B12" s="11" t="s">
        <v>183</v>
      </c>
      <c r="C12" s="326"/>
      <c r="D12" s="20"/>
      <c r="E12" s="309"/>
      <c r="F12" s="19"/>
      <c r="G12" s="18"/>
      <c r="H12" s="19"/>
      <c r="I12" s="213"/>
      <c r="M12" s="13"/>
      <c r="N12" s="13"/>
      <c r="O12" s="13"/>
    </row>
    <row r="13" spans="1:24" ht="15" customHeight="1">
      <c r="A13" s="392">
        <f t="shared" si="0"/>
        <v>5</v>
      </c>
      <c r="B13" s="23"/>
      <c r="C13" s="23" t="s">
        <v>181</v>
      </c>
      <c r="D13" s="23" t="s">
        <v>182</v>
      </c>
      <c r="E13" s="16">
        <f>'2013 ERF - Rate Design'!I29</f>
        <v>0.30481999999999998</v>
      </c>
      <c r="F13" s="19"/>
      <c r="G13" s="18">
        <f>$G$10</f>
        <v>0.10723000000000001</v>
      </c>
      <c r="H13" s="19"/>
      <c r="I13" s="15">
        <f>ROUND(E13*(1+G13),5)</f>
        <v>0.33750999999999998</v>
      </c>
      <c r="J13" s="14"/>
      <c r="K13" s="13">
        <f>I13-E13</f>
        <v>3.2689999999999997E-2</v>
      </c>
      <c r="M13" s="13"/>
      <c r="N13" s="13"/>
      <c r="O13" s="13"/>
    </row>
    <row r="14" spans="1:24" ht="15" customHeight="1">
      <c r="A14" s="392">
        <f t="shared" si="0"/>
        <v>6</v>
      </c>
      <c r="B14" s="23"/>
      <c r="C14" s="10" t="s">
        <v>184</v>
      </c>
      <c r="D14" s="23" t="s">
        <v>182</v>
      </c>
      <c r="E14" s="16">
        <f>'2013 ERF - Rate Design'!I30</f>
        <v>-5.3600000000000002E-3</v>
      </c>
      <c r="F14" s="19"/>
      <c r="G14" s="18">
        <f>$G$10</f>
        <v>0.10723000000000001</v>
      </c>
      <c r="H14" s="19"/>
      <c r="I14" s="15">
        <f>ROUND(E14*(1+G14),5)</f>
        <v>-5.9300000000000004E-3</v>
      </c>
      <c r="J14" s="14"/>
      <c r="K14" s="13">
        <f>I14-E14</f>
        <v>-5.7000000000000019E-4</v>
      </c>
      <c r="M14" s="13"/>
      <c r="N14" s="13"/>
      <c r="O14" s="13"/>
    </row>
    <row r="15" spans="1:24" ht="15" customHeight="1">
      <c r="A15" s="392">
        <f t="shared" si="0"/>
        <v>7</v>
      </c>
      <c r="B15" s="23"/>
      <c r="E15" s="9"/>
      <c r="F15" s="19"/>
      <c r="G15" s="18"/>
      <c r="H15" s="19"/>
      <c r="I15" s="8"/>
      <c r="M15" s="13"/>
      <c r="N15" s="13"/>
      <c r="O15" s="13"/>
    </row>
    <row r="16" spans="1:24" ht="15" customHeight="1">
      <c r="A16" s="392">
        <f t="shared" si="0"/>
        <v>8</v>
      </c>
      <c r="B16" s="11" t="s">
        <v>185</v>
      </c>
      <c r="C16" s="326"/>
      <c r="D16" s="20"/>
      <c r="E16" s="309"/>
      <c r="F16" s="19"/>
      <c r="G16" s="18"/>
      <c r="H16" s="19"/>
      <c r="I16" s="213"/>
      <c r="M16" s="13"/>
      <c r="N16" s="13"/>
      <c r="O16" s="13"/>
    </row>
    <row r="17" spans="1:15" ht="15" customHeight="1">
      <c r="A17" s="392">
        <f t="shared" si="0"/>
        <v>9</v>
      </c>
      <c r="C17" s="213" t="s">
        <v>186</v>
      </c>
      <c r="D17" s="23" t="s">
        <v>182</v>
      </c>
      <c r="E17" s="7">
        <f>'2013 ERF - Rate Design'!I40</f>
        <v>1.1399999999999999</v>
      </c>
      <c r="F17" s="19"/>
      <c r="G17" s="18">
        <f>$G$10</f>
        <v>0.10723000000000001</v>
      </c>
      <c r="H17" s="19"/>
      <c r="I17" s="6">
        <f>ROUND(E17*(1+G17),2)</f>
        <v>1.26</v>
      </c>
      <c r="J17" s="14"/>
      <c r="K17" s="5">
        <f>I17-E17</f>
        <v>0.12000000000000011</v>
      </c>
      <c r="M17" s="13"/>
      <c r="N17" s="13"/>
      <c r="O17" s="13"/>
    </row>
    <row r="18" spans="1:15" ht="15" customHeight="1">
      <c r="A18" s="392">
        <f t="shared" si="0"/>
        <v>10</v>
      </c>
      <c r="C18" s="213"/>
      <c r="E18" s="7"/>
      <c r="F18" s="19"/>
      <c r="G18" s="18"/>
      <c r="H18" s="19"/>
      <c r="I18" s="6"/>
      <c r="M18" s="13"/>
      <c r="N18" s="13"/>
      <c r="O18" s="13"/>
    </row>
    <row r="19" spans="1:15" ht="15" customHeight="1">
      <c r="A19" s="392">
        <f t="shared" si="0"/>
        <v>11</v>
      </c>
      <c r="C19" s="213" t="s">
        <v>187</v>
      </c>
      <c r="E19" s="7"/>
      <c r="F19" s="19"/>
      <c r="G19" s="18"/>
      <c r="H19" s="19"/>
      <c r="I19" s="6"/>
      <c r="M19" s="13"/>
      <c r="N19" s="13"/>
      <c r="O19" s="13"/>
    </row>
    <row r="20" spans="1:15" ht="15" customHeight="1">
      <c r="A20" s="392">
        <f t="shared" si="0"/>
        <v>12</v>
      </c>
      <c r="C20" s="213" t="s">
        <v>463</v>
      </c>
      <c r="D20" s="23" t="s">
        <v>182</v>
      </c>
      <c r="E20" s="16">
        <f>'2013 ERF - Rate Design'!I43</f>
        <v>0.13772999999999999</v>
      </c>
      <c r="F20" s="19"/>
      <c r="G20" s="18"/>
      <c r="H20" s="19"/>
      <c r="I20" s="15">
        <f>ROUND(E20*(1+G20),5)</f>
        <v>0.13772999999999999</v>
      </c>
      <c r="K20" s="13">
        <f>I20-E20</f>
        <v>0</v>
      </c>
      <c r="M20" s="13"/>
      <c r="N20" s="13"/>
      <c r="O20" s="13"/>
    </row>
    <row r="21" spans="1:15" ht="15" customHeight="1">
      <c r="A21" s="392">
        <f t="shared" si="0"/>
        <v>13</v>
      </c>
      <c r="C21" s="213" t="s">
        <v>188</v>
      </c>
      <c r="D21" s="23" t="s">
        <v>182</v>
      </c>
      <c r="E21" s="16">
        <f>'2013 ERF - Rate Design'!I44</f>
        <v>0.13772999999999999</v>
      </c>
      <c r="F21" s="19"/>
      <c r="G21" s="18">
        <f t="shared" ref="G21:G22" si="1">$G$10</f>
        <v>0.10723000000000001</v>
      </c>
      <c r="H21" s="19"/>
      <c r="I21" s="15">
        <f>ROUND(E21*(1+G21),5)</f>
        <v>0.1525</v>
      </c>
      <c r="J21" s="14"/>
      <c r="K21" s="13">
        <f>I21-E21</f>
        <v>1.4770000000000005E-2</v>
      </c>
      <c r="M21" s="13"/>
      <c r="N21" s="13"/>
      <c r="O21" s="13"/>
    </row>
    <row r="22" spans="1:15" ht="15" customHeight="1">
      <c r="A22" s="392">
        <f t="shared" si="0"/>
        <v>14</v>
      </c>
      <c r="C22" s="213" t="s">
        <v>189</v>
      </c>
      <c r="D22" s="23" t="s">
        <v>182</v>
      </c>
      <c r="E22" s="16">
        <f>'2013 ERF - Rate Design'!I45</f>
        <v>0.11087</v>
      </c>
      <c r="F22" s="19"/>
      <c r="G22" s="18">
        <f t="shared" si="1"/>
        <v>0.10723000000000001</v>
      </c>
      <c r="H22" s="19"/>
      <c r="I22" s="15">
        <f>ROUND(E22*(1+G22),5)</f>
        <v>0.12275999999999999</v>
      </c>
      <c r="J22" s="14"/>
      <c r="K22" s="13">
        <f>I22-E22</f>
        <v>1.1889999999999998E-2</v>
      </c>
      <c r="M22" s="13"/>
      <c r="N22" s="13"/>
      <c r="O22" s="13"/>
    </row>
    <row r="23" spans="1:15" ht="15" customHeight="1">
      <c r="A23" s="392">
        <f t="shared" si="0"/>
        <v>15</v>
      </c>
      <c r="C23" s="10"/>
      <c r="D23" s="20"/>
      <c r="E23" s="17"/>
      <c r="F23" s="19"/>
      <c r="G23" s="18"/>
      <c r="H23" s="19"/>
      <c r="I23" s="12"/>
      <c r="M23" s="13"/>
      <c r="N23" s="13"/>
      <c r="O23" s="13"/>
    </row>
    <row r="24" spans="1:15" s="322" customFormat="1" ht="15" customHeight="1">
      <c r="A24" s="392">
        <f t="shared" si="0"/>
        <v>16</v>
      </c>
      <c r="B24" s="11" t="s">
        <v>190</v>
      </c>
      <c r="D24" s="20"/>
      <c r="E24" s="309"/>
      <c r="F24" s="4"/>
      <c r="G24" s="18"/>
      <c r="H24" s="4"/>
      <c r="I24" s="213"/>
      <c r="M24" s="13"/>
      <c r="N24" s="13"/>
      <c r="O24" s="13"/>
    </row>
    <row r="25" spans="1:15" s="322" customFormat="1" ht="15" customHeight="1">
      <c r="A25" s="392">
        <f t="shared" si="0"/>
        <v>17</v>
      </c>
      <c r="B25" s="213"/>
      <c r="C25" s="213" t="s">
        <v>186</v>
      </c>
      <c r="D25" s="23" t="s">
        <v>182</v>
      </c>
      <c r="E25" s="7">
        <f>'2013 ERF - Rate Design'!I52</f>
        <v>1.1399999999999999</v>
      </c>
      <c r="F25" s="4"/>
      <c r="G25" s="18">
        <f>$G$10</f>
        <v>0.10723000000000001</v>
      </c>
      <c r="H25" s="4"/>
      <c r="I25" s="6">
        <f>ROUND(E25*(1+G25),2)</f>
        <v>1.26</v>
      </c>
      <c r="J25" s="14"/>
      <c r="K25" s="5">
        <f>I25-E25</f>
        <v>0.12000000000000011</v>
      </c>
      <c r="M25" s="13"/>
      <c r="N25" s="13"/>
      <c r="O25" s="13"/>
    </row>
    <row r="26" spans="1:15" s="322" customFormat="1" ht="15" customHeight="1">
      <c r="A26" s="392">
        <f t="shared" si="0"/>
        <v>18</v>
      </c>
      <c r="B26" s="213"/>
      <c r="C26" s="213"/>
      <c r="D26" s="23"/>
      <c r="E26" s="7"/>
      <c r="F26" s="4"/>
      <c r="G26" s="18"/>
      <c r="H26" s="4"/>
      <c r="I26" s="6"/>
      <c r="M26" s="13"/>
      <c r="N26" s="13"/>
      <c r="O26" s="13"/>
    </row>
    <row r="27" spans="1:15" s="322" customFormat="1" ht="15" customHeight="1">
      <c r="A27" s="392">
        <f t="shared" si="0"/>
        <v>19</v>
      </c>
      <c r="B27" s="213"/>
      <c r="C27" s="213" t="s">
        <v>187</v>
      </c>
      <c r="D27" s="23"/>
      <c r="E27" s="7"/>
      <c r="F27" s="4"/>
      <c r="G27" s="18"/>
      <c r="H27" s="4"/>
      <c r="I27" s="6"/>
      <c r="M27" s="13"/>
      <c r="N27" s="13"/>
      <c r="O27" s="13"/>
    </row>
    <row r="28" spans="1:15" s="322" customFormat="1" ht="15" customHeight="1">
      <c r="A28" s="392">
        <f t="shared" si="0"/>
        <v>20</v>
      </c>
      <c r="B28" s="213"/>
      <c r="C28" s="213" t="s">
        <v>463</v>
      </c>
      <c r="D28" s="23" t="s">
        <v>182</v>
      </c>
      <c r="E28" s="16">
        <f>'2013 ERF - Rate Design'!I55</f>
        <v>0.13772999999999999</v>
      </c>
      <c r="F28" s="4"/>
      <c r="G28" s="18"/>
      <c r="H28" s="4"/>
      <c r="I28" s="15">
        <f>ROUND(E28*(1+G28),5)</f>
        <v>0.13772999999999999</v>
      </c>
      <c r="K28" s="13">
        <f>I28-E28</f>
        <v>0</v>
      </c>
      <c r="M28" s="13"/>
      <c r="N28" s="13"/>
      <c r="O28" s="13"/>
    </row>
    <row r="29" spans="1:15" s="322" customFormat="1" ht="15" customHeight="1">
      <c r="A29" s="392">
        <f t="shared" si="0"/>
        <v>21</v>
      </c>
      <c r="B29" s="213"/>
      <c r="C29" s="213" t="s">
        <v>188</v>
      </c>
      <c r="D29" s="23" t="s">
        <v>182</v>
      </c>
      <c r="E29" s="16">
        <f>'2013 ERF - Rate Design'!I56</f>
        <v>0.13772999999999999</v>
      </c>
      <c r="F29" s="4"/>
      <c r="G29" s="18">
        <f t="shared" ref="G29:G30" si="2">$G$10</f>
        <v>0.10723000000000001</v>
      </c>
      <c r="H29" s="4"/>
      <c r="I29" s="15">
        <f>ROUND(E29*(1+G29),5)</f>
        <v>0.1525</v>
      </c>
      <c r="J29" s="14"/>
      <c r="K29" s="13">
        <f>I29-E29</f>
        <v>1.4770000000000005E-2</v>
      </c>
      <c r="M29" s="13"/>
      <c r="N29" s="13"/>
      <c r="O29" s="13"/>
    </row>
    <row r="30" spans="1:15" s="322" customFormat="1" ht="15" customHeight="1">
      <c r="A30" s="392">
        <f t="shared" si="0"/>
        <v>22</v>
      </c>
      <c r="B30" s="213"/>
      <c r="C30" s="213" t="s">
        <v>189</v>
      </c>
      <c r="D30" s="23" t="s">
        <v>182</v>
      </c>
      <c r="E30" s="16">
        <f>'2013 ERF - Rate Design'!I57</f>
        <v>0.11087</v>
      </c>
      <c r="F30" s="4"/>
      <c r="G30" s="18">
        <f t="shared" si="2"/>
        <v>0.10723000000000001</v>
      </c>
      <c r="H30" s="4"/>
      <c r="I30" s="15">
        <f>ROUND(E30*(1+G30),5)</f>
        <v>0.12275999999999999</v>
      </c>
      <c r="J30" s="14"/>
      <c r="K30" s="13">
        <f>I30-E30</f>
        <v>1.1889999999999998E-2</v>
      </c>
      <c r="M30" s="13"/>
      <c r="N30" s="13"/>
      <c r="O30" s="13"/>
    </row>
    <row r="31" spans="1:15" s="322" customFormat="1" ht="15" customHeight="1">
      <c r="A31" s="392">
        <f t="shared" si="0"/>
        <v>23</v>
      </c>
      <c r="B31" s="213"/>
      <c r="C31" s="10"/>
      <c r="D31" s="20"/>
      <c r="E31" s="17"/>
      <c r="F31" s="4"/>
      <c r="G31" s="18"/>
      <c r="H31" s="4"/>
      <c r="I31" s="12"/>
      <c r="M31" s="13"/>
      <c r="N31" s="13"/>
      <c r="O31" s="13"/>
    </row>
    <row r="32" spans="1:15" s="322" customFormat="1" ht="15" customHeight="1">
      <c r="A32" s="392">
        <f t="shared" si="0"/>
        <v>24</v>
      </c>
      <c r="B32" s="213"/>
      <c r="C32" s="10" t="s">
        <v>184</v>
      </c>
      <c r="D32" s="23" t="s">
        <v>182</v>
      </c>
      <c r="E32" s="3">
        <f>'2013 ERF - Rate Design'!I59</f>
        <v>-5.3600000000000002E-3</v>
      </c>
      <c r="F32" s="4"/>
      <c r="G32" s="18">
        <f>$G$10</f>
        <v>0.10723000000000001</v>
      </c>
      <c r="H32" s="4"/>
      <c r="I32" s="15">
        <f>ROUND(E32*(1+G32),5)</f>
        <v>-5.9300000000000004E-3</v>
      </c>
      <c r="J32" s="14"/>
      <c r="K32" s="13">
        <f>I32-E32</f>
        <v>-5.7000000000000019E-4</v>
      </c>
      <c r="M32" s="13"/>
      <c r="N32" s="13"/>
      <c r="O32" s="13"/>
    </row>
    <row r="33" spans="1:15" s="322" customFormat="1" ht="15" customHeight="1">
      <c r="A33" s="392">
        <f t="shared" si="0"/>
        <v>25</v>
      </c>
      <c r="B33" s="213"/>
      <c r="C33" s="10"/>
      <c r="D33" s="20"/>
      <c r="E33" s="17"/>
      <c r="F33" s="4"/>
      <c r="G33" s="18"/>
      <c r="H33" s="4"/>
      <c r="I33" s="12"/>
      <c r="M33" s="13"/>
      <c r="N33" s="13"/>
      <c r="O33" s="13"/>
    </row>
    <row r="34" spans="1:15" ht="15" customHeight="1">
      <c r="A34" s="392">
        <f t="shared" si="0"/>
        <v>26</v>
      </c>
      <c r="B34" s="21" t="s">
        <v>191</v>
      </c>
      <c r="C34" s="326"/>
      <c r="D34" s="20"/>
      <c r="E34" s="7"/>
      <c r="F34" s="2"/>
      <c r="G34" s="18"/>
      <c r="H34" s="2"/>
      <c r="I34" s="6"/>
      <c r="M34" s="13"/>
      <c r="N34" s="13"/>
      <c r="O34" s="13"/>
    </row>
    <row r="35" spans="1:15" ht="15" customHeight="1">
      <c r="A35" s="392">
        <f t="shared" si="0"/>
        <v>27</v>
      </c>
      <c r="C35" s="23" t="s">
        <v>186</v>
      </c>
      <c r="D35" s="23" t="s">
        <v>182</v>
      </c>
      <c r="E35" s="7">
        <f>'2013 ERF - Rate Design'!I89</f>
        <v>1.1399999999999999</v>
      </c>
      <c r="F35" s="2"/>
      <c r="G35" s="18">
        <f t="shared" ref="G35:G36" si="3">$G$10</f>
        <v>0.10723000000000001</v>
      </c>
      <c r="H35" s="2"/>
      <c r="I35" s="6">
        <f>ROUND(E35*(1+G35),2)</f>
        <v>1.26</v>
      </c>
      <c r="J35" s="14"/>
      <c r="K35" s="5">
        <f>I35-E35</f>
        <v>0.12000000000000011</v>
      </c>
      <c r="M35" s="13"/>
      <c r="N35" s="13"/>
      <c r="O35" s="13"/>
    </row>
    <row r="36" spans="1:15" ht="15" customHeight="1">
      <c r="A36" s="392">
        <f t="shared" si="0"/>
        <v>28</v>
      </c>
      <c r="C36" s="23" t="s">
        <v>192</v>
      </c>
      <c r="D36" s="23" t="s">
        <v>182</v>
      </c>
      <c r="E36" s="16">
        <f>'2013 ERF - Rate Design'!I90</f>
        <v>6.7799999999999996E-3</v>
      </c>
      <c r="F36" s="2"/>
      <c r="G36" s="18">
        <f t="shared" si="3"/>
        <v>0.10723000000000001</v>
      </c>
      <c r="H36" s="2"/>
      <c r="I36" s="15">
        <f>ROUND(E36*(1+G36),5)</f>
        <v>7.5100000000000002E-3</v>
      </c>
      <c r="J36" s="14"/>
      <c r="K36" s="13">
        <f>I36-E36</f>
        <v>7.3000000000000061E-4</v>
      </c>
      <c r="M36" s="13"/>
      <c r="N36" s="13"/>
      <c r="O36" s="13"/>
    </row>
    <row r="37" spans="1:15" ht="15" customHeight="1">
      <c r="A37" s="392">
        <f t="shared" si="0"/>
        <v>29</v>
      </c>
      <c r="E37" s="16"/>
      <c r="F37" s="2"/>
      <c r="G37" s="18"/>
      <c r="H37" s="2"/>
      <c r="I37" s="15"/>
      <c r="M37" s="13"/>
      <c r="N37" s="13"/>
      <c r="O37" s="13"/>
    </row>
    <row r="38" spans="1:15" ht="15" customHeight="1">
      <c r="A38" s="392">
        <f t="shared" si="0"/>
        <v>30</v>
      </c>
      <c r="C38" s="23" t="s">
        <v>187</v>
      </c>
      <c r="E38" s="16"/>
      <c r="F38" s="2"/>
      <c r="G38" s="18"/>
      <c r="H38" s="2"/>
      <c r="I38" s="15"/>
      <c r="M38" s="13"/>
      <c r="N38" s="13"/>
      <c r="O38" s="13"/>
    </row>
    <row r="39" spans="1:15" ht="15" customHeight="1">
      <c r="A39" s="392">
        <f t="shared" si="0"/>
        <v>31</v>
      </c>
      <c r="C39" s="213" t="s">
        <v>193</v>
      </c>
      <c r="D39" s="23" t="s">
        <v>182</v>
      </c>
      <c r="E39" s="16">
        <f>'2013 ERF - Rate Design'!I94</f>
        <v>0.19822000000000001</v>
      </c>
      <c r="F39" s="2"/>
      <c r="G39" s="18">
        <f t="shared" ref="G39:G40" si="4">$G$10</f>
        <v>0.10723000000000001</v>
      </c>
      <c r="H39" s="2"/>
      <c r="I39" s="15">
        <f>ROUND(E39*(1+G39),5)</f>
        <v>0.21948000000000001</v>
      </c>
      <c r="J39" s="14"/>
      <c r="K39" s="13">
        <f>I39-E39</f>
        <v>2.1260000000000001E-2</v>
      </c>
      <c r="M39" s="13"/>
      <c r="N39" s="13"/>
      <c r="O39" s="13"/>
    </row>
    <row r="40" spans="1:15" ht="15" customHeight="1">
      <c r="A40" s="392">
        <f t="shared" si="0"/>
        <v>32</v>
      </c>
      <c r="C40" s="213" t="s">
        <v>194</v>
      </c>
      <c r="D40" s="23" t="s">
        <v>182</v>
      </c>
      <c r="E40" s="16">
        <f>'2013 ERF - Rate Design'!I95</f>
        <v>0.14054</v>
      </c>
      <c r="F40" s="2"/>
      <c r="G40" s="18">
        <f t="shared" si="4"/>
        <v>0.10723000000000001</v>
      </c>
      <c r="H40" s="2"/>
      <c r="I40" s="15">
        <f>ROUND(E40*(1+G40),5)</f>
        <v>0.15561</v>
      </c>
      <c r="J40" s="14"/>
      <c r="K40" s="13">
        <f>I40-E40</f>
        <v>1.507E-2</v>
      </c>
      <c r="M40" s="13"/>
      <c r="N40" s="13"/>
      <c r="O40" s="13"/>
    </row>
    <row r="41" spans="1:15" ht="15" customHeight="1">
      <c r="A41" s="392">
        <f t="shared" si="0"/>
        <v>33</v>
      </c>
      <c r="C41" s="20"/>
      <c r="D41" s="20"/>
      <c r="E41" s="7"/>
      <c r="F41" s="2"/>
      <c r="G41" s="18"/>
      <c r="H41" s="2"/>
      <c r="I41" s="6"/>
      <c r="M41" s="13"/>
      <c r="N41" s="13"/>
      <c r="O41" s="13"/>
    </row>
    <row r="42" spans="1:15" ht="15" customHeight="1">
      <c r="A42" s="392">
        <f t="shared" si="0"/>
        <v>34</v>
      </c>
      <c r="B42" s="21" t="s">
        <v>195</v>
      </c>
      <c r="C42" s="326"/>
      <c r="D42" s="20"/>
      <c r="E42" s="7"/>
      <c r="F42" s="2"/>
      <c r="G42" s="18"/>
      <c r="H42" s="2"/>
      <c r="I42" s="6"/>
      <c r="M42" s="13"/>
      <c r="N42" s="13"/>
      <c r="O42" s="13"/>
    </row>
    <row r="43" spans="1:15" ht="15" customHeight="1">
      <c r="A43" s="392">
        <f t="shared" si="0"/>
        <v>35</v>
      </c>
      <c r="B43" s="23"/>
      <c r="C43" s="23" t="s">
        <v>186</v>
      </c>
      <c r="D43" s="23" t="s">
        <v>182</v>
      </c>
      <c r="E43" s="7">
        <f>'2013 ERF - Rate Design'!I101</f>
        <v>1.1399999999999999</v>
      </c>
      <c r="F43" s="2"/>
      <c r="G43" s="18">
        <f>$G$10</f>
        <v>0.10723000000000001</v>
      </c>
      <c r="H43" s="2"/>
      <c r="I43" s="6">
        <f>ROUND(E43*(1+G43),2)</f>
        <v>1.26</v>
      </c>
      <c r="J43" s="14"/>
      <c r="K43" s="5">
        <f>I43-E43</f>
        <v>0.12000000000000011</v>
      </c>
      <c r="M43" s="13"/>
      <c r="N43" s="13"/>
      <c r="O43" s="13"/>
    </row>
    <row r="44" spans="1:15" ht="15" customHeight="1">
      <c r="A44" s="392">
        <f t="shared" si="0"/>
        <v>36</v>
      </c>
      <c r="B44" s="23"/>
      <c r="E44" s="16"/>
      <c r="F44" s="2"/>
      <c r="G44" s="18"/>
      <c r="H44" s="2"/>
      <c r="I44" s="15"/>
      <c r="M44" s="13"/>
      <c r="N44" s="13"/>
      <c r="O44" s="13"/>
    </row>
    <row r="45" spans="1:15" ht="15" customHeight="1">
      <c r="A45" s="392">
        <f t="shared" si="0"/>
        <v>37</v>
      </c>
      <c r="B45" s="23"/>
      <c r="C45" s="23" t="s">
        <v>187</v>
      </c>
      <c r="E45" s="16"/>
      <c r="F45" s="2"/>
      <c r="G45" s="18"/>
      <c r="H45" s="2"/>
      <c r="I45" s="15"/>
      <c r="M45" s="13"/>
      <c r="N45" s="13"/>
      <c r="O45" s="13"/>
    </row>
    <row r="46" spans="1:15" ht="15" customHeight="1">
      <c r="A46" s="392">
        <f t="shared" si="0"/>
        <v>38</v>
      </c>
      <c r="B46" s="23"/>
      <c r="C46" s="213" t="s">
        <v>193</v>
      </c>
      <c r="D46" s="23" t="s">
        <v>182</v>
      </c>
      <c r="E46" s="16">
        <f>'2013 ERF - Rate Design'!I105</f>
        <v>0.19822000000000001</v>
      </c>
      <c r="F46" s="2"/>
      <c r="G46" s="18">
        <f t="shared" ref="G46:G47" si="5">$G$10</f>
        <v>0.10723000000000001</v>
      </c>
      <c r="H46" s="2"/>
      <c r="I46" s="15">
        <f>ROUND(E46*(1+G46),5)</f>
        <v>0.21948000000000001</v>
      </c>
      <c r="J46" s="14"/>
      <c r="K46" s="13">
        <f>I46-E46</f>
        <v>2.1260000000000001E-2</v>
      </c>
      <c r="M46" s="13"/>
      <c r="N46" s="13"/>
      <c r="O46" s="13"/>
    </row>
    <row r="47" spans="1:15" ht="15" customHeight="1">
      <c r="A47" s="392">
        <f t="shared" si="0"/>
        <v>39</v>
      </c>
      <c r="B47" s="23"/>
      <c r="C47" s="213" t="s">
        <v>194</v>
      </c>
      <c r="D47" s="23" t="s">
        <v>182</v>
      </c>
      <c r="E47" s="16">
        <f>'2013 ERF - Rate Design'!I106</f>
        <v>0.14054</v>
      </c>
      <c r="F47" s="2"/>
      <c r="G47" s="18">
        <f t="shared" si="5"/>
        <v>0.10723000000000001</v>
      </c>
      <c r="H47" s="2"/>
      <c r="I47" s="15">
        <f>ROUND(E47*(1+G47),5)</f>
        <v>0.15561</v>
      </c>
      <c r="J47" s="14"/>
      <c r="K47" s="13">
        <f>I47-E47</f>
        <v>1.507E-2</v>
      </c>
      <c r="M47" s="13"/>
      <c r="N47" s="13"/>
      <c r="O47" s="13"/>
    </row>
    <row r="48" spans="1:15" ht="15" customHeight="1">
      <c r="A48" s="392"/>
      <c r="C48" s="10"/>
      <c r="E48" s="6"/>
      <c r="F48" s="2"/>
      <c r="G48" s="18"/>
      <c r="H48" s="2"/>
      <c r="I48" s="6"/>
      <c r="M48" s="13"/>
      <c r="N48" s="13"/>
      <c r="O48" s="13"/>
    </row>
    <row r="49" spans="1:20" ht="15" customHeight="1">
      <c r="A49" s="392"/>
      <c r="C49" s="20"/>
      <c r="E49" s="6"/>
      <c r="F49" s="2"/>
      <c r="G49" s="18"/>
      <c r="H49" s="2"/>
      <c r="I49" s="6"/>
      <c r="J49" s="14"/>
      <c r="M49" s="13"/>
      <c r="N49" s="13"/>
      <c r="O49" s="13"/>
    </row>
    <row r="50" spans="1:20" ht="15" customHeight="1">
      <c r="A50" s="392"/>
      <c r="B50" s="23"/>
      <c r="C50" s="20"/>
      <c r="D50" s="20"/>
      <c r="E50" s="6"/>
      <c r="F50" s="2"/>
      <c r="G50" s="18"/>
      <c r="H50" s="2"/>
      <c r="I50" s="6"/>
      <c r="M50" s="13"/>
      <c r="N50" s="13"/>
      <c r="O50" s="13"/>
    </row>
    <row r="51" spans="1:20" ht="15" customHeight="1">
      <c r="A51" s="392"/>
      <c r="B51" s="1"/>
      <c r="E51" s="1"/>
      <c r="F51" s="1"/>
      <c r="G51" s="18"/>
      <c r="H51" s="1"/>
      <c r="J51" s="1"/>
      <c r="K51" s="1"/>
      <c r="L51" s="1"/>
      <c r="M51" s="13"/>
      <c r="N51" s="13"/>
      <c r="O51" s="13"/>
      <c r="P51" s="1"/>
      <c r="Q51" s="1"/>
      <c r="R51" s="1"/>
      <c r="S51" s="1"/>
      <c r="T51" s="1"/>
    </row>
    <row r="52" spans="1:20" ht="15" customHeight="1">
      <c r="A52" s="392"/>
      <c r="E52" s="1"/>
      <c r="F52" s="1"/>
      <c r="G52" s="18"/>
      <c r="H52" s="1"/>
      <c r="J52" s="1"/>
      <c r="K52" s="1"/>
      <c r="L52" s="1"/>
      <c r="M52" s="13"/>
      <c r="N52" s="13"/>
      <c r="O52" s="13"/>
      <c r="P52" s="1"/>
      <c r="Q52" s="1"/>
      <c r="R52" s="1"/>
      <c r="S52" s="1"/>
      <c r="T52" s="1"/>
    </row>
    <row r="53" spans="1:20" ht="15" customHeight="1">
      <c r="A53" s="392"/>
      <c r="G53" s="18"/>
      <c r="M53" s="13"/>
      <c r="N53" s="13"/>
      <c r="O53" s="13"/>
    </row>
    <row r="54" spans="1:20" ht="15" customHeight="1">
      <c r="G54" s="18"/>
      <c r="M54" s="13"/>
      <c r="N54" s="13"/>
      <c r="O54" s="13"/>
    </row>
    <row r="55" spans="1:20" ht="15" customHeight="1">
      <c r="G55" s="18"/>
      <c r="M55" s="13"/>
      <c r="N55" s="13"/>
      <c r="O55" s="13"/>
    </row>
    <row r="56" spans="1:20" ht="15" customHeight="1">
      <c r="G56" s="18"/>
      <c r="M56" s="13"/>
      <c r="N56" s="13"/>
      <c r="O56" s="13"/>
    </row>
    <row r="57" spans="1:20" ht="15" customHeight="1">
      <c r="G57" s="18"/>
      <c r="M57" s="13"/>
      <c r="N57" s="13"/>
      <c r="O57" s="13"/>
    </row>
    <row r="58" spans="1:20" ht="15" customHeight="1">
      <c r="G58" s="18"/>
      <c r="M58" s="13"/>
      <c r="N58" s="13"/>
      <c r="O58" s="13"/>
    </row>
    <row r="59" spans="1:20" ht="15" customHeight="1">
      <c r="C59" s="326"/>
      <c r="D59" s="326"/>
      <c r="E59" s="326"/>
      <c r="G59" s="18"/>
      <c r="M59" s="13"/>
      <c r="N59" s="13"/>
      <c r="O59" s="13"/>
    </row>
    <row r="60" spans="1:20" ht="15" customHeight="1">
      <c r="C60" s="326"/>
      <c r="D60" s="326"/>
      <c r="E60" s="326"/>
      <c r="G60" s="18"/>
      <c r="M60" s="13"/>
      <c r="N60" s="13"/>
      <c r="O60" s="13"/>
    </row>
    <row r="61" spans="1:20" ht="15" customHeight="1">
      <c r="C61" s="326"/>
      <c r="D61" s="326"/>
      <c r="E61" s="326"/>
      <c r="G61" s="18"/>
      <c r="M61" s="13"/>
      <c r="N61" s="13"/>
      <c r="O61" s="13"/>
    </row>
    <row r="62" spans="1:20" ht="15" customHeight="1">
      <c r="C62" s="326"/>
      <c r="D62" s="326"/>
      <c r="E62" s="326"/>
      <c r="G62" s="18"/>
      <c r="M62" s="13"/>
      <c r="N62" s="13"/>
      <c r="O62" s="13"/>
    </row>
    <row r="63" spans="1:20" ht="15" customHeight="1">
      <c r="C63" s="326"/>
      <c r="D63" s="326"/>
      <c r="E63" s="326"/>
      <c r="G63" s="18"/>
    </row>
    <row r="64" spans="1:20" ht="15" customHeight="1">
      <c r="C64" s="326"/>
      <c r="D64" s="326"/>
      <c r="E64" s="326"/>
      <c r="G64" s="18"/>
    </row>
    <row r="65" spans="3:7" ht="15" customHeight="1">
      <c r="C65" s="326"/>
      <c r="D65" s="326"/>
      <c r="E65" s="326"/>
      <c r="G65" s="18"/>
    </row>
    <row r="66" spans="3:7" ht="15" customHeight="1">
      <c r="C66" s="326"/>
      <c r="D66" s="326"/>
      <c r="E66" s="326"/>
      <c r="G66" s="18"/>
    </row>
    <row r="67" spans="3:7" ht="15" customHeight="1">
      <c r="C67" s="326"/>
      <c r="D67" s="326"/>
      <c r="E67" s="326"/>
      <c r="G67" s="18"/>
    </row>
    <row r="68" spans="3:7" ht="15" customHeight="1">
      <c r="C68" s="326"/>
      <c r="D68" s="326"/>
      <c r="E68" s="326"/>
      <c r="G68" s="18"/>
    </row>
    <row r="69" spans="3:7" ht="15" customHeight="1">
      <c r="C69" s="326"/>
      <c r="D69" s="326"/>
      <c r="E69" s="326"/>
      <c r="G69" s="18"/>
    </row>
    <row r="70" spans="3:7" ht="15" customHeight="1">
      <c r="C70" s="326"/>
      <c r="D70" s="326"/>
      <c r="E70" s="326"/>
      <c r="G70" s="18"/>
    </row>
    <row r="71" spans="3:7" ht="15" customHeight="1">
      <c r="C71" s="326"/>
      <c r="D71" s="326"/>
      <c r="E71" s="326"/>
      <c r="G71" s="18"/>
    </row>
    <row r="72" spans="3:7" ht="15" customHeight="1">
      <c r="C72" s="326"/>
      <c r="D72" s="326"/>
      <c r="E72" s="326"/>
      <c r="G72" s="18"/>
    </row>
    <row r="73" spans="3:7" ht="15" customHeight="1">
      <c r="C73" s="326"/>
      <c r="D73" s="326"/>
      <c r="E73" s="326"/>
      <c r="G73" s="18"/>
    </row>
    <row r="74" spans="3:7" ht="15" customHeight="1">
      <c r="C74" s="326"/>
      <c r="D74" s="326"/>
      <c r="E74" s="326"/>
      <c r="G74" s="18"/>
    </row>
    <row r="75" spans="3:7" ht="15" customHeight="1">
      <c r="C75" s="326"/>
      <c r="D75" s="326"/>
      <c r="E75" s="326"/>
      <c r="G75" s="18"/>
    </row>
    <row r="76" spans="3:7" ht="15" customHeight="1">
      <c r="C76" s="326"/>
      <c r="D76" s="326"/>
      <c r="E76" s="326"/>
      <c r="G76" s="18"/>
    </row>
    <row r="77" spans="3:7" ht="15" customHeight="1">
      <c r="C77" s="326"/>
      <c r="D77" s="326"/>
      <c r="E77" s="326"/>
      <c r="G77" s="18"/>
    </row>
    <row r="78" spans="3:7" ht="15" customHeight="1">
      <c r="C78" s="326"/>
      <c r="D78" s="326"/>
      <c r="E78" s="326"/>
      <c r="G78" s="18"/>
    </row>
    <row r="79" spans="3:7" ht="15" customHeight="1">
      <c r="C79" s="326"/>
      <c r="D79" s="326"/>
      <c r="E79" s="326"/>
      <c r="G79" s="18"/>
    </row>
    <row r="80" spans="3:7" ht="15" customHeight="1">
      <c r="C80" s="326"/>
      <c r="D80" s="326"/>
      <c r="E80" s="326"/>
      <c r="G80" s="18"/>
    </row>
    <row r="81" spans="3:7" ht="15" customHeight="1">
      <c r="C81" s="326"/>
      <c r="D81" s="326"/>
      <c r="E81" s="326"/>
      <c r="G81" s="18"/>
    </row>
    <row r="82" spans="3:7" ht="15" customHeight="1">
      <c r="C82" s="326"/>
      <c r="D82" s="326"/>
      <c r="E82" s="326"/>
      <c r="G82" s="18"/>
    </row>
    <row r="83" spans="3:7" ht="15" customHeight="1">
      <c r="C83" s="326"/>
      <c r="D83" s="326"/>
      <c r="E83" s="326"/>
      <c r="G83" s="18"/>
    </row>
    <row r="84" spans="3:7" ht="15" customHeight="1">
      <c r="C84" s="326"/>
      <c r="D84" s="326"/>
      <c r="E84" s="326"/>
      <c r="G84" s="18"/>
    </row>
    <row r="85" spans="3:7" ht="15" customHeight="1">
      <c r="C85" s="326"/>
      <c r="D85" s="326"/>
      <c r="E85" s="326"/>
      <c r="G85" s="18"/>
    </row>
    <row r="86" spans="3:7" ht="15" customHeight="1">
      <c r="C86" s="326"/>
      <c r="D86" s="326"/>
      <c r="E86" s="326"/>
      <c r="G86" s="18"/>
    </row>
    <row r="87" spans="3:7" ht="15" customHeight="1">
      <c r="C87" s="326"/>
      <c r="D87" s="326"/>
      <c r="E87" s="326"/>
      <c r="G87" s="18"/>
    </row>
    <row r="88" spans="3:7" ht="15" customHeight="1">
      <c r="C88" s="326"/>
      <c r="D88" s="326"/>
      <c r="E88" s="326"/>
      <c r="G88" s="18"/>
    </row>
    <row r="89" spans="3:7" ht="15" customHeight="1">
      <c r="C89" s="326"/>
      <c r="D89" s="326"/>
      <c r="E89" s="326"/>
      <c r="G89" s="18"/>
    </row>
    <row r="90" spans="3:7" ht="15" customHeight="1">
      <c r="C90" s="326"/>
      <c r="D90" s="326"/>
      <c r="E90" s="326"/>
      <c r="G90" s="18"/>
    </row>
    <row r="91" spans="3:7" ht="15" customHeight="1">
      <c r="C91" s="326"/>
      <c r="D91" s="326"/>
      <c r="E91" s="326"/>
      <c r="G91" s="18"/>
    </row>
    <row r="92" spans="3:7" ht="15" customHeight="1">
      <c r="C92" s="326"/>
      <c r="D92" s="326"/>
      <c r="E92" s="326"/>
      <c r="G92" s="18"/>
    </row>
    <row r="93" spans="3:7" ht="15" customHeight="1">
      <c r="C93" s="326"/>
      <c r="D93" s="326"/>
      <c r="E93" s="326"/>
      <c r="G93" s="18"/>
    </row>
    <row r="94" spans="3:7" ht="15" customHeight="1">
      <c r="C94" s="326"/>
      <c r="D94" s="326"/>
      <c r="E94" s="326"/>
      <c r="G94" s="18"/>
    </row>
    <row r="95" spans="3:7" ht="15" customHeight="1">
      <c r="C95" s="326"/>
      <c r="D95" s="326"/>
      <c r="E95" s="326"/>
      <c r="G95" s="18"/>
    </row>
    <row r="96" spans="3:7" ht="15" customHeight="1">
      <c r="C96" s="326"/>
      <c r="D96" s="326"/>
      <c r="E96" s="326"/>
      <c r="G96" s="18"/>
    </row>
    <row r="97" spans="3:7" ht="15" customHeight="1">
      <c r="C97" s="326"/>
      <c r="D97" s="326"/>
      <c r="E97" s="326"/>
      <c r="G97" s="18"/>
    </row>
    <row r="98" spans="3:7" ht="15" customHeight="1">
      <c r="C98" s="326"/>
      <c r="D98" s="326"/>
      <c r="E98" s="326"/>
      <c r="G98" s="18"/>
    </row>
    <row r="99" spans="3:7" ht="15" customHeight="1">
      <c r="C99" s="326"/>
      <c r="D99" s="326"/>
      <c r="E99" s="326"/>
      <c r="G99" s="18"/>
    </row>
    <row r="100" spans="3:7" ht="15" customHeight="1">
      <c r="C100" s="326"/>
      <c r="D100" s="326"/>
      <c r="E100" s="326"/>
      <c r="G100" s="18"/>
    </row>
    <row r="101" spans="3:7" ht="15" customHeight="1">
      <c r="C101" s="326"/>
      <c r="D101" s="326"/>
      <c r="E101" s="326"/>
      <c r="G101" s="18"/>
    </row>
    <row r="102" spans="3:7" ht="15" customHeight="1">
      <c r="C102" s="326"/>
      <c r="D102" s="326"/>
      <c r="E102" s="326"/>
      <c r="G102" s="18"/>
    </row>
    <row r="103" spans="3:7" ht="15" customHeight="1">
      <c r="C103" s="326"/>
      <c r="D103" s="326"/>
      <c r="E103" s="326"/>
      <c r="G103" s="18"/>
    </row>
    <row r="104" spans="3:7" ht="15" customHeight="1">
      <c r="C104" s="326"/>
      <c r="D104" s="326"/>
      <c r="E104" s="326"/>
      <c r="G104" s="18"/>
    </row>
    <row r="105" spans="3:7" ht="15" customHeight="1">
      <c r="C105" s="326"/>
      <c r="D105" s="326"/>
      <c r="E105" s="326"/>
      <c r="G105" s="18"/>
    </row>
    <row r="106" spans="3:7" ht="15" customHeight="1">
      <c r="C106" s="326"/>
      <c r="D106" s="326"/>
      <c r="E106" s="326"/>
      <c r="G106" s="18"/>
    </row>
    <row r="107" spans="3:7" ht="15" customHeight="1">
      <c r="C107" s="326"/>
      <c r="D107" s="326"/>
      <c r="E107" s="326"/>
      <c r="G107" s="18"/>
    </row>
    <row r="108" spans="3:7" ht="15" customHeight="1">
      <c r="C108" s="326"/>
      <c r="D108" s="326"/>
      <c r="E108" s="326"/>
      <c r="G108" s="18"/>
    </row>
    <row r="109" spans="3:7" ht="15" customHeight="1">
      <c r="C109" s="326"/>
      <c r="D109" s="326"/>
      <c r="E109" s="326"/>
      <c r="G109" s="18"/>
    </row>
    <row r="110" spans="3:7" ht="15" customHeight="1">
      <c r="C110" s="326"/>
      <c r="D110" s="326"/>
      <c r="E110" s="326"/>
      <c r="G110" s="18"/>
    </row>
    <row r="111" spans="3:7" ht="15" customHeight="1">
      <c r="C111" s="326"/>
      <c r="D111" s="326"/>
      <c r="E111" s="326"/>
      <c r="G111" s="18"/>
    </row>
  </sheetData>
  <mergeCells count="4">
    <mergeCell ref="B1:K1"/>
    <mergeCell ref="B2:K2"/>
    <mergeCell ref="B3:K3"/>
    <mergeCell ref="B4:K4"/>
  </mergeCells>
  <printOptions horizontalCentered="1"/>
  <pageMargins left="0.7" right="0.7" top="0.75" bottom="0.75" header="0.3" footer="0.3"/>
  <pageSetup scale="92"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2" manualBreakCount="2">
    <brk id="32" min="1" max="16" man="1"/>
    <brk id="49" min="1" max="1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T103"/>
  <sheetViews>
    <sheetView zoomScale="50" workbookViewId="0">
      <selection activeCell="I68" sqref="I68"/>
    </sheetView>
  </sheetViews>
  <sheetFormatPr baseColWidth="10" defaultColWidth="9.1640625" defaultRowHeight="13"/>
  <cols>
    <col min="1" max="1" width="3.6640625" style="316" customWidth="1"/>
    <col min="2" max="2" width="41" style="316" customWidth="1"/>
    <col min="3" max="15" width="13.6640625" style="316" customWidth="1"/>
    <col min="16" max="17" width="12.33203125" style="316" customWidth="1"/>
    <col min="18" max="16384" width="9.1640625" style="316"/>
  </cols>
  <sheetData>
    <row r="1" spans="1:20">
      <c r="A1" s="624" t="s">
        <v>22</v>
      </c>
      <c r="B1" s="624"/>
      <c r="C1" s="624"/>
      <c r="D1" s="624"/>
      <c r="E1" s="624"/>
      <c r="F1" s="624"/>
      <c r="G1" s="624"/>
      <c r="H1" s="624"/>
      <c r="I1" s="624"/>
      <c r="J1" s="624"/>
      <c r="K1" s="624"/>
      <c r="L1" s="624"/>
      <c r="M1" s="624"/>
      <c r="N1" s="624"/>
      <c r="O1" s="624"/>
    </row>
    <row r="2" spans="1:20">
      <c r="A2" s="624" t="s">
        <v>464</v>
      </c>
      <c r="B2" s="624"/>
      <c r="C2" s="624"/>
      <c r="D2" s="624"/>
      <c r="E2" s="624"/>
      <c r="F2" s="624"/>
      <c r="G2" s="624"/>
      <c r="H2" s="624"/>
      <c r="I2" s="624"/>
      <c r="J2" s="624"/>
      <c r="K2" s="624"/>
      <c r="L2" s="624"/>
      <c r="M2" s="624"/>
      <c r="N2" s="624"/>
      <c r="O2" s="624"/>
    </row>
    <row r="3" spans="1:20">
      <c r="A3" s="624" t="s">
        <v>465</v>
      </c>
      <c r="B3" s="624"/>
      <c r="C3" s="624"/>
      <c r="D3" s="624"/>
      <c r="E3" s="624"/>
      <c r="F3" s="624"/>
      <c r="G3" s="624"/>
      <c r="H3" s="624"/>
      <c r="I3" s="624"/>
      <c r="J3" s="624"/>
      <c r="K3" s="624"/>
      <c r="L3" s="624"/>
      <c r="M3" s="624"/>
      <c r="N3" s="624"/>
      <c r="O3" s="624"/>
    </row>
    <row r="4" spans="1:20">
      <c r="A4" s="624" t="s">
        <v>466</v>
      </c>
      <c r="B4" s="624"/>
      <c r="C4" s="624"/>
      <c r="D4" s="624"/>
      <c r="E4" s="624"/>
      <c r="F4" s="624"/>
      <c r="G4" s="624"/>
      <c r="H4" s="624"/>
      <c r="I4" s="624"/>
      <c r="J4" s="624"/>
      <c r="K4" s="624"/>
      <c r="L4" s="624"/>
      <c r="M4" s="624"/>
      <c r="N4" s="624"/>
      <c r="O4" s="624"/>
    </row>
    <row r="5" spans="1:20">
      <c r="A5" s="392"/>
      <c r="B5" s="392"/>
      <c r="C5" s="392"/>
      <c r="D5" s="392"/>
      <c r="E5" s="392"/>
      <c r="F5" s="392"/>
      <c r="G5" s="392"/>
      <c r="H5" s="392"/>
      <c r="I5" s="392"/>
      <c r="J5" s="392"/>
      <c r="K5" s="392"/>
      <c r="L5" s="392"/>
      <c r="M5" s="392"/>
      <c r="N5" s="392"/>
      <c r="O5" s="315"/>
    </row>
    <row r="6" spans="1:20">
      <c r="A6" s="315"/>
      <c r="B6" s="315"/>
      <c r="C6" s="315"/>
      <c r="D6" s="315"/>
      <c r="E6" s="315"/>
      <c r="F6" s="315"/>
      <c r="G6" s="315"/>
      <c r="H6" s="315"/>
      <c r="I6" s="315"/>
      <c r="J6" s="315"/>
      <c r="K6" s="315"/>
      <c r="L6" s="315"/>
      <c r="M6" s="315"/>
      <c r="N6" s="315"/>
      <c r="O6" s="315"/>
    </row>
    <row r="7" spans="1:20" ht="25.5" customHeight="1">
      <c r="A7" s="278"/>
      <c r="B7" s="279"/>
      <c r="C7" s="175">
        <v>42005</v>
      </c>
      <c r="D7" s="175">
        <f t="shared" ref="D7:N7" si="0">EDATE(C7,1)</f>
        <v>42036</v>
      </c>
      <c r="E7" s="175">
        <f t="shared" si="0"/>
        <v>42064</v>
      </c>
      <c r="F7" s="175">
        <f t="shared" si="0"/>
        <v>42095</v>
      </c>
      <c r="G7" s="175">
        <f t="shared" si="0"/>
        <v>42125</v>
      </c>
      <c r="H7" s="175">
        <f t="shared" si="0"/>
        <v>42156</v>
      </c>
      <c r="I7" s="175">
        <f t="shared" si="0"/>
        <v>42186</v>
      </c>
      <c r="J7" s="175">
        <f t="shared" si="0"/>
        <v>42217</v>
      </c>
      <c r="K7" s="175">
        <f t="shared" si="0"/>
        <v>42248</v>
      </c>
      <c r="L7" s="175">
        <f t="shared" si="0"/>
        <v>42278</v>
      </c>
      <c r="M7" s="175">
        <f t="shared" si="0"/>
        <v>42309</v>
      </c>
      <c r="N7" s="175">
        <f t="shared" si="0"/>
        <v>42339</v>
      </c>
      <c r="O7" s="175" t="s">
        <v>143</v>
      </c>
      <c r="P7" s="50"/>
      <c r="Q7" s="50"/>
      <c r="R7" s="163"/>
      <c r="S7" s="163"/>
      <c r="T7" s="163"/>
    </row>
    <row r="8" spans="1:20">
      <c r="A8" s="392"/>
      <c r="B8" s="392"/>
      <c r="C8" s="392"/>
      <c r="D8" s="392"/>
      <c r="E8" s="392"/>
      <c r="F8" s="392"/>
      <c r="G8" s="392"/>
      <c r="H8" s="392"/>
      <c r="I8" s="392"/>
      <c r="J8" s="392"/>
      <c r="K8" s="392"/>
      <c r="L8" s="392"/>
      <c r="M8" s="392"/>
      <c r="N8" s="392"/>
      <c r="O8" s="315"/>
    </row>
    <row r="9" spans="1:20">
      <c r="A9" s="392">
        <v>1</v>
      </c>
      <c r="B9" s="473" t="s">
        <v>467</v>
      </c>
      <c r="C9" s="474">
        <v>734851</v>
      </c>
      <c r="D9" s="474">
        <v>735897</v>
      </c>
      <c r="E9" s="474">
        <v>736498</v>
      </c>
      <c r="F9" s="474">
        <v>736746</v>
      </c>
      <c r="G9" s="474">
        <v>736564</v>
      </c>
      <c r="H9" s="474">
        <v>736636</v>
      </c>
      <c r="I9" s="474">
        <v>736444</v>
      </c>
      <c r="J9" s="474">
        <v>736388</v>
      </c>
      <c r="K9" s="474">
        <v>736870</v>
      </c>
      <c r="L9" s="474">
        <v>738347</v>
      </c>
      <c r="M9" s="474">
        <v>740333</v>
      </c>
      <c r="N9" s="474">
        <v>742494</v>
      </c>
      <c r="O9" s="280"/>
      <c r="P9" s="164"/>
      <c r="Q9" s="164"/>
    </row>
    <row r="10" spans="1:20">
      <c r="A10" s="392">
        <f>A9+1</f>
        <v>2</v>
      </c>
      <c r="B10" s="281" t="s">
        <v>468</v>
      </c>
      <c r="C10" s="282">
        <v>46.938076378609985</v>
      </c>
      <c r="D10" s="282">
        <v>43.547770308204839</v>
      </c>
      <c r="E10" s="282">
        <v>36.974599651704466</v>
      </c>
      <c r="F10" s="282">
        <v>26.443890574681014</v>
      </c>
      <c r="G10" s="282">
        <v>16.554829042804023</v>
      </c>
      <c r="H10" s="282">
        <v>10.68851977679557</v>
      </c>
      <c r="I10" s="282">
        <v>8.4465640921268026</v>
      </c>
      <c r="J10" s="282">
        <v>7.8026495760240486</v>
      </c>
      <c r="K10" s="282">
        <v>10.809464435670218</v>
      </c>
      <c r="L10" s="282">
        <v>22.62617061067446</v>
      </c>
      <c r="M10" s="282">
        <v>38.095765326636844</v>
      </c>
      <c r="N10" s="282">
        <v>47.93170022606769</v>
      </c>
      <c r="O10" s="283"/>
      <c r="P10" s="165"/>
      <c r="Q10" s="165"/>
    </row>
    <row r="11" spans="1:20">
      <c r="A11" s="392">
        <f t="shared" ref="A11:A55" si="1">A10+1</f>
        <v>3</v>
      </c>
      <c r="B11" s="315" t="s">
        <v>469</v>
      </c>
      <c r="C11" s="285">
        <f t="shared" ref="C11:N11" si="2">C9*C10</f>
        <v>34492492.364897929</v>
      </c>
      <c r="D11" s="285">
        <f t="shared" si="2"/>
        <v>32046673.526497018</v>
      </c>
      <c r="E11" s="285">
        <f t="shared" si="2"/>
        <v>27231718.694281034</v>
      </c>
      <c r="F11" s="285">
        <f t="shared" si="2"/>
        <v>19482430.605333939</v>
      </c>
      <c r="G11" s="285">
        <f t="shared" si="2"/>
        <v>12193691.099083902</v>
      </c>
      <c r="H11" s="285">
        <f t="shared" si="2"/>
        <v>7873548.4542995812</v>
      </c>
      <c r="I11" s="285">
        <f t="shared" si="2"/>
        <v>6220421.4462622311</v>
      </c>
      <c r="J11" s="285">
        <f t="shared" si="2"/>
        <v>5745777.5159891974</v>
      </c>
      <c r="K11" s="285">
        <f t="shared" si="2"/>
        <v>7965170.0587123139</v>
      </c>
      <c r="L11" s="285">
        <f t="shared" si="2"/>
        <v>16705965.191879656</v>
      </c>
      <c r="M11" s="285">
        <f t="shared" si="2"/>
        <v>28203552.231565036</v>
      </c>
      <c r="N11" s="285">
        <f t="shared" si="2"/>
        <v>35588999.8276539</v>
      </c>
      <c r="O11" s="285">
        <f>SUM(C11:N11)</f>
        <v>233750441.01645571</v>
      </c>
      <c r="P11" s="166"/>
      <c r="Q11" s="166"/>
    </row>
    <row r="12" spans="1:20">
      <c r="A12" s="392">
        <f t="shared" si="1"/>
        <v>4</v>
      </c>
      <c r="B12" s="315"/>
      <c r="C12" s="315"/>
      <c r="D12" s="315"/>
      <c r="E12" s="315"/>
      <c r="F12" s="315"/>
      <c r="G12" s="315"/>
      <c r="H12" s="315"/>
      <c r="I12" s="315"/>
      <c r="J12" s="315"/>
      <c r="K12" s="315"/>
      <c r="L12" s="315"/>
      <c r="M12" s="315"/>
      <c r="N12" s="315"/>
      <c r="O12" s="315"/>
      <c r="P12" s="167"/>
      <c r="Q12" s="167"/>
    </row>
    <row r="13" spans="1:20">
      <c r="A13" s="392">
        <f t="shared" si="1"/>
        <v>5</v>
      </c>
      <c r="B13" s="473" t="s">
        <v>470</v>
      </c>
      <c r="C13" s="474">
        <v>74478473</v>
      </c>
      <c r="D13" s="474">
        <v>55257321</v>
      </c>
      <c r="E13" s="474">
        <v>51807027</v>
      </c>
      <c r="F13" s="474">
        <v>43522390</v>
      </c>
      <c r="G13" s="474">
        <v>24650330</v>
      </c>
      <c r="H13" s="474">
        <v>13687478</v>
      </c>
      <c r="I13" s="474">
        <v>11398295</v>
      </c>
      <c r="J13" s="474">
        <v>12213712</v>
      </c>
      <c r="K13" s="474">
        <v>18333522</v>
      </c>
      <c r="L13" s="474">
        <v>29331397</v>
      </c>
      <c r="M13" s="474">
        <v>72489377</v>
      </c>
      <c r="N13" s="474">
        <v>86951649</v>
      </c>
      <c r="O13" s="315"/>
      <c r="P13" s="164"/>
      <c r="Q13" s="164"/>
    </row>
    <row r="14" spans="1:20">
      <c r="A14" s="392">
        <f t="shared" si="1"/>
        <v>6</v>
      </c>
      <c r="B14" s="281" t="s">
        <v>471</v>
      </c>
      <c r="C14" s="284">
        <v>0.36997999999999998</v>
      </c>
      <c r="D14" s="284">
        <v>0.36997999999999998</v>
      </c>
      <c r="E14" s="284">
        <v>0.36997999999999998</v>
      </c>
      <c r="F14" s="284">
        <v>0.36997999999999998</v>
      </c>
      <c r="G14" s="284">
        <v>0.38278000000000001</v>
      </c>
      <c r="H14" s="284">
        <v>0.38278000000000001</v>
      </c>
      <c r="I14" s="284">
        <v>0.38278000000000001</v>
      </c>
      <c r="J14" s="284">
        <v>0.38278000000000001</v>
      </c>
      <c r="K14" s="284">
        <v>0.38278000000000001</v>
      </c>
      <c r="L14" s="284">
        <v>0.38278000000000001</v>
      </c>
      <c r="M14" s="284">
        <v>0.38278000000000001</v>
      </c>
      <c r="N14" s="284">
        <v>0.38278000000000001</v>
      </c>
      <c r="O14" s="286"/>
      <c r="P14" s="168"/>
      <c r="Q14" s="168"/>
    </row>
    <row r="15" spans="1:20">
      <c r="A15" s="392">
        <f t="shared" si="1"/>
        <v>7</v>
      </c>
      <c r="B15" s="315" t="s">
        <v>472</v>
      </c>
      <c r="C15" s="285">
        <f t="shared" ref="C15:N15" si="3">C13*C14</f>
        <v>27555545.440539997</v>
      </c>
      <c r="D15" s="285">
        <f t="shared" si="3"/>
        <v>20444103.623579998</v>
      </c>
      <c r="E15" s="285">
        <f t="shared" si="3"/>
        <v>19167563.849459998</v>
      </c>
      <c r="F15" s="285">
        <f t="shared" si="3"/>
        <v>16102413.8522</v>
      </c>
      <c r="G15" s="285">
        <f t="shared" si="3"/>
        <v>9435653.317400001</v>
      </c>
      <c r="H15" s="285">
        <f t="shared" si="3"/>
        <v>5239292.8288400006</v>
      </c>
      <c r="I15" s="285">
        <f t="shared" si="3"/>
        <v>4363039.3601000002</v>
      </c>
      <c r="J15" s="285">
        <f t="shared" si="3"/>
        <v>4675164.6793600004</v>
      </c>
      <c r="K15" s="285">
        <f t="shared" si="3"/>
        <v>7017705.5511600003</v>
      </c>
      <c r="L15" s="285">
        <f t="shared" si="3"/>
        <v>11227472.14366</v>
      </c>
      <c r="M15" s="285">
        <f t="shared" si="3"/>
        <v>27747483.72806</v>
      </c>
      <c r="N15" s="285">
        <f t="shared" si="3"/>
        <v>33283352.204220001</v>
      </c>
      <c r="O15" s="285">
        <f>SUM(C15:N15)</f>
        <v>186258790.57857999</v>
      </c>
      <c r="P15" s="166"/>
      <c r="Q15" s="166"/>
    </row>
    <row r="16" spans="1:20">
      <c r="A16" s="392">
        <f t="shared" si="1"/>
        <v>8</v>
      </c>
      <c r="B16" s="315"/>
      <c r="C16" s="315"/>
      <c r="D16" s="315"/>
      <c r="E16" s="315"/>
      <c r="F16" s="315"/>
      <c r="G16" s="315"/>
      <c r="H16" s="315"/>
      <c r="I16" s="315"/>
      <c r="J16" s="315"/>
      <c r="K16" s="315"/>
      <c r="L16" s="315"/>
      <c r="M16" s="315"/>
      <c r="N16" s="315"/>
      <c r="O16" s="285"/>
    </row>
    <row r="17" spans="1:17">
      <c r="A17" s="392">
        <f t="shared" si="1"/>
        <v>9</v>
      </c>
      <c r="B17" s="473" t="s">
        <v>473</v>
      </c>
      <c r="C17" s="474"/>
      <c r="D17" s="474"/>
      <c r="E17" s="474"/>
      <c r="F17" s="474"/>
      <c r="G17" s="474">
        <v>-1483877</v>
      </c>
      <c r="H17" s="474">
        <v>292196</v>
      </c>
      <c r="I17" s="474">
        <v>57195</v>
      </c>
      <c r="J17" s="474"/>
      <c r="K17" s="474"/>
      <c r="L17" s="474"/>
      <c r="M17" s="474"/>
      <c r="N17" s="474"/>
      <c r="O17" s="285"/>
    </row>
    <row r="18" spans="1:17">
      <c r="A18" s="392">
        <f t="shared" si="1"/>
        <v>10</v>
      </c>
      <c r="B18" s="281" t="s">
        <v>471</v>
      </c>
      <c r="C18" s="284"/>
      <c r="D18" s="284"/>
      <c r="E18" s="284"/>
      <c r="F18" s="284"/>
      <c r="G18" s="284">
        <v>0.36997999999999998</v>
      </c>
      <c r="H18" s="284">
        <v>0.36997999999999998</v>
      </c>
      <c r="I18" s="284">
        <v>0.36997999999999998</v>
      </c>
      <c r="J18" s="284"/>
      <c r="K18" s="284"/>
      <c r="L18" s="284"/>
      <c r="M18" s="284"/>
      <c r="N18" s="284"/>
      <c r="O18" s="285"/>
    </row>
    <row r="19" spans="1:17">
      <c r="A19" s="392">
        <f t="shared" si="1"/>
        <v>11</v>
      </c>
      <c r="B19" s="315" t="s">
        <v>472</v>
      </c>
      <c r="C19" s="315"/>
      <c r="D19" s="315"/>
      <c r="E19" s="315"/>
      <c r="F19" s="315"/>
      <c r="G19" s="285">
        <f t="shared" ref="G19:N19" si="4">G17*G18</f>
        <v>-549004.81245999993</v>
      </c>
      <c r="H19" s="285">
        <f t="shared" si="4"/>
        <v>108106.67607999999</v>
      </c>
      <c r="I19" s="285">
        <f t="shared" si="4"/>
        <v>21161.006099999999</v>
      </c>
      <c r="J19" s="285">
        <f t="shared" si="4"/>
        <v>0</v>
      </c>
      <c r="K19" s="285">
        <f t="shared" si="4"/>
        <v>0</v>
      </c>
      <c r="L19" s="285">
        <f t="shared" si="4"/>
        <v>0</v>
      </c>
      <c r="M19" s="285">
        <f t="shared" si="4"/>
        <v>0</v>
      </c>
      <c r="N19" s="285">
        <f t="shared" si="4"/>
        <v>0</v>
      </c>
      <c r="O19" s="285">
        <f>SUM(C19:N19)</f>
        <v>-419737.13027999992</v>
      </c>
    </row>
    <row r="20" spans="1:17">
      <c r="A20" s="392">
        <f t="shared" si="1"/>
        <v>12</v>
      </c>
      <c r="B20" s="315"/>
      <c r="C20" s="315"/>
      <c r="D20" s="315"/>
      <c r="E20" s="315"/>
      <c r="F20" s="315"/>
      <c r="G20" s="315"/>
      <c r="H20" s="315"/>
      <c r="I20" s="315"/>
      <c r="J20" s="315"/>
      <c r="K20" s="315"/>
      <c r="L20" s="315"/>
      <c r="M20" s="315"/>
      <c r="N20" s="315"/>
      <c r="O20" s="285"/>
    </row>
    <row r="21" spans="1:17">
      <c r="A21" s="392">
        <f t="shared" si="1"/>
        <v>13</v>
      </c>
      <c r="B21" s="315" t="s">
        <v>474</v>
      </c>
      <c r="C21" s="285">
        <f>C15+C19</f>
        <v>27555545.440539997</v>
      </c>
      <c r="D21" s="285">
        <f t="shared" ref="D21:F21" si="5">D15+D19</f>
        <v>20444103.623579998</v>
      </c>
      <c r="E21" s="285">
        <f t="shared" si="5"/>
        <v>19167563.849459998</v>
      </c>
      <c r="F21" s="285">
        <f t="shared" si="5"/>
        <v>16102413.8522</v>
      </c>
      <c r="G21" s="285">
        <f>G15+G19</f>
        <v>8886648.5049400013</v>
      </c>
      <c r="H21" s="285">
        <f t="shared" ref="H21:N21" si="6">H15+H19</f>
        <v>5347399.5049200002</v>
      </c>
      <c r="I21" s="285">
        <f t="shared" si="6"/>
        <v>4384200.3662</v>
      </c>
      <c r="J21" s="285">
        <f t="shared" si="6"/>
        <v>4675164.6793600004</v>
      </c>
      <c r="K21" s="285">
        <f t="shared" si="6"/>
        <v>7017705.5511600003</v>
      </c>
      <c r="L21" s="285">
        <f t="shared" si="6"/>
        <v>11227472.14366</v>
      </c>
      <c r="M21" s="285">
        <f t="shared" si="6"/>
        <v>27747483.72806</v>
      </c>
      <c r="N21" s="285">
        <f t="shared" si="6"/>
        <v>33283352.204220001</v>
      </c>
      <c r="O21" s="285">
        <f>SUM(C21:N21)</f>
        <v>185839053.4483</v>
      </c>
    </row>
    <row r="22" spans="1:17">
      <c r="A22" s="392">
        <f t="shared" si="1"/>
        <v>14</v>
      </c>
      <c r="B22" s="315"/>
      <c r="C22" s="315"/>
      <c r="D22" s="315"/>
      <c r="E22" s="315"/>
      <c r="F22" s="315"/>
      <c r="G22" s="315"/>
      <c r="H22" s="315"/>
      <c r="I22" s="315"/>
      <c r="J22" s="315"/>
      <c r="K22" s="315"/>
      <c r="L22" s="315"/>
      <c r="M22" s="315"/>
      <c r="N22" s="315"/>
      <c r="O22" s="285"/>
    </row>
    <row r="23" spans="1:17">
      <c r="A23" s="392">
        <f t="shared" si="1"/>
        <v>15</v>
      </c>
      <c r="B23" s="315" t="s">
        <v>253</v>
      </c>
      <c r="C23" s="285">
        <f>C11-C21</f>
        <v>6936946.9243579321</v>
      </c>
      <c r="D23" s="285">
        <f t="shared" ref="D23:N23" si="7">D11-D21</f>
        <v>11602569.90291702</v>
      </c>
      <c r="E23" s="285">
        <f t="shared" si="7"/>
        <v>8064154.8448210359</v>
      </c>
      <c r="F23" s="285">
        <f t="shared" si="7"/>
        <v>3380016.7531339396</v>
      </c>
      <c r="G23" s="285">
        <f t="shared" si="7"/>
        <v>3307042.594143901</v>
      </c>
      <c r="H23" s="285">
        <f t="shared" si="7"/>
        <v>2526148.949379581</v>
      </c>
      <c r="I23" s="285">
        <f t="shared" si="7"/>
        <v>1836221.080062231</v>
      </c>
      <c r="J23" s="285">
        <f t="shared" si="7"/>
        <v>1070612.836629197</v>
      </c>
      <c r="K23" s="285">
        <f t="shared" si="7"/>
        <v>947464.50755231362</v>
      </c>
      <c r="L23" s="285">
        <f t="shared" si="7"/>
        <v>5478493.0482196566</v>
      </c>
      <c r="M23" s="285">
        <f t="shared" si="7"/>
        <v>456068.50350503623</v>
      </c>
      <c r="N23" s="285">
        <f t="shared" si="7"/>
        <v>2305647.6234338991</v>
      </c>
      <c r="O23" s="285">
        <f t="shared" ref="O23" si="8">SUM(C23:N23)</f>
        <v>47911387.568155751</v>
      </c>
      <c r="P23" s="166"/>
      <c r="Q23" s="166"/>
    </row>
    <row r="24" spans="1:17">
      <c r="A24" s="392">
        <f t="shared" si="1"/>
        <v>16</v>
      </c>
      <c r="B24" s="315"/>
      <c r="C24" s="285"/>
      <c r="D24" s="285"/>
      <c r="E24" s="285"/>
      <c r="F24" s="285"/>
      <c r="G24" s="285"/>
      <c r="H24" s="285"/>
      <c r="I24" s="285"/>
      <c r="J24" s="285"/>
      <c r="K24" s="285"/>
      <c r="L24" s="285"/>
      <c r="M24" s="285"/>
      <c r="N24" s="285"/>
      <c r="O24" s="285"/>
      <c r="P24" s="166"/>
      <c r="Q24" s="166"/>
    </row>
    <row r="25" spans="1:17">
      <c r="A25" s="392">
        <f t="shared" si="1"/>
        <v>17</v>
      </c>
      <c r="B25" s="287" t="s">
        <v>233</v>
      </c>
      <c r="C25" s="288">
        <v>0.95589999999999997</v>
      </c>
      <c r="D25" s="288">
        <v>0.95589999999999997</v>
      </c>
      <c r="E25" s="288">
        <v>0.95589999999999997</v>
      </c>
      <c r="F25" s="288">
        <v>0.95589999999999997</v>
      </c>
      <c r="G25" s="288">
        <v>0.95589999999999997</v>
      </c>
      <c r="H25" s="288">
        <v>0.95589999999999997</v>
      </c>
      <c r="I25" s="288">
        <v>0.95589999999999997</v>
      </c>
      <c r="J25" s="288">
        <v>0.95589999999999997</v>
      </c>
      <c r="K25" s="288">
        <v>0.95589999999999997</v>
      </c>
      <c r="L25" s="288">
        <v>0.95589999999999997</v>
      </c>
      <c r="M25" s="288">
        <v>0.95589999999999997</v>
      </c>
      <c r="N25" s="288">
        <v>0.95589999999999997</v>
      </c>
      <c r="O25" s="285"/>
      <c r="P25" s="166"/>
      <c r="Q25" s="166"/>
    </row>
    <row r="26" spans="1:17">
      <c r="A26" s="392">
        <f t="shared" si="1"/>
        <v>18</v>
      </c>
      <c r="B26" s="315"/>
      <c r="C26" s="285"/>
      <c r="D26" s="285"/>
      <c r="E26" s="285"/>
      <c r="F26" s="285"/>
      <c r="G26" s="285"/>
      <c r="H26" s="285"/>
      <c r="I26" s="285"/>
      <c r="J26" s="285"/>
      <c r="K26" s="285"/>
      <c r="L26" s="285"/>
      <c r="M26" s="285"/>
      <c r="N26" s="285"/>
      <c r="O26" s="285"/>
      <c r="P26" s="166"/>
      <c r="Q26" s="166"/>
    </row>
    <row r="27" spans="1:17">
      <c r="A27" s="392">
        <f t="shared" si="1"/>
        <v>19</v>
      </c>
      <c r="B27" s="314" t="s">
        <v>475</v>
      </c>
      <c r="C27" s="232">
        <f t="shared" ref="C27:H27" si="9">C25*C23</f>
        <v>6631027.5649937475</v>
      </c>
      <c r="D27" s="232">
        <f t="shared" si="9"/>
        <v>11090896.570198379</v>
      </c>
      <c r="E27" s="232">
        <f t="shared" si="9"/>
        <v>7708525.6161644282</v>
      </c>
      <c r="F27" s="232">
        <f t="shared" si="9"/>
        <v>3230958.0143207326</v>
      </c>
      <c r="G27" s="232">
        <f t="shared" si="9"/>
        <v>3161202.0157421548</v>
      </c>
      <c r="H27" s="232">
        <f t="shared" si="9"/>
        <v>2414745.7807119414</v>
      </c>
      <c r="I27" s="232">
        <f>I25*I23</f>
        <v>1755243.7304314866</v>
      </c>
      <c r="J27" s="232">
        <f t="shared" ref="J27:N27" si="10">J25*J23</f>
        <v>1023398.8105338494</v>
      </c>
      <c r="K27" s="232">
        <f t="shared" si="10"/>
        <v>905681.32276925654</v>
      </c>
      <c r="L27" s="232">
        <f t="shared" si="10"/>
        <v>5236891.5047931699</v>
      </c>
      <c r="M27" s="232">
        <f t="shared" si="10"/>
        <v>435955.8825004641</v>
      </c>
      <c r="N27" s="232">
        <f t="shared" si="10"/>
        <v>2203968.5632404643</v>
      </c>
      <c r="O27" s="270">
        <f>SUM(C27:N27)</f>
        <v>45798495.376400068</v>
      </c>
      <c r="P27" s="166"/>
      <c r="Q27" s="166"/>
    </row>
    <row r="28" spans="1:17">
      <c r="A28" s="392">
        <f t="shared" si="1"/>
        <v>20</v>
      </c>
      <c r="B28" s="315"/>
      <c r="C28" s="315"/>
      <c r="D28" s="315"/>
      <c r="E28" s="315"/>
      <c r="F28" s="315"/>
      <c r="G28" s="315"/>
      <c r="H28" s="315"/>
      <c r="I28" s="315"/>
      <c r="J28" s="315"/>
      <c r="K28" s="315"/>
      <c r="L28" s="315"/>
      <c r="M28" s="315"/>
      <c r="N28" s="315"/>
      <c r="O28" s="285"/>
    </row>
    <row r="29" spans="1:17">
      <c r="A29" s="392">
        <f t="shared" si="1"/>
        <v>21</v>
      </c>
      <c r="B29" s="315" t="s">
        <v>476</v>
      </c>
      <c r="C29" s="285">
        <v>65139.400116520614</v>
      </c>
      <c r="D29" s="285">
        <v>90747.391815005874</v>
      </c>
      <c r="E29" s="285">
        <v>74091.056493276075</v>
      </c>
      <c r="F29" s="285">
        <v>122136.38629384106</v>
      </c>
      <c r="G29" s="285">
        <v>128951.17679794361</v>
      </c>
      <c r="H29" s="285">
        <v>134313.21714376382</v>
      </c>
      <c r="I29" s="285">
        <v>139322.68872355527</v>
      </c>
      <c r="J29" s="285">
        <v>142485.50806706704</v>
      </c>
      <c r="K29" s="285">
        <v>144321.67519713409</v>
      </c>
      <c r="L29" s="285">
        <v>151428.69608224137</v>
      </c>
      <c r="M29" s="285">
        <v>156523.66548404726</v>
      </c>
      <c r="N29" s="285">
        <v>156047.56511537798</v>
      </c>
      <c r="O29" s="285">
        <f t="shared" ref="O29" si="11">SUM(C29:N29)</f>
        <v>1505508.427329774</v>
      </c>
      <c r="P29" s="247"/>
      <c r="Q29" s="247"/>
    </row>
    <row r="30" spans="1:17">
      <c r="A30" s="392">
        <f t="shared" si="1"/>
        <v>22</v>
      </c>
      <c r="B30" s="315"/>
      <c r="C30" s="315"/>
      <c r="D30" s="315"/>
      <c r="E30" s="315"/>
      <c r="F30" s="315"/>
      <c r="G30" s="315"/>
      <c r="H30" s="315"/>
      <c r="I30" s="315"/>
      <c r="J30" s="315"/>
      <c r="K30" s="315"/>
      <c r="L30" s="315"/>
      <c r="M30" s="315"/>
      <c r="N30" s="315"/>
      <c r="O30" s="285"/>
    </row>
    <row r="31" spans="1:17">
      <c r="A31" s="392">
        <f t="shared" si="1"/>
        <v>23</v>
      </c>
      <c r="B31" s="315" t="s">
        <v>477</v>
      </c>
      <c r="C31" s="285">
        <f>18131428.09+'Res Deferral Calc 2015'!C27+'Res Deferral Calc 2015'!C29</f>
        <v>24827595.055110268</v>
      </c>
      <c r="D31" s="285">
        <f t="shared" ref="D31" si="12">C31+D27+D29</f>
        <v>36009239.017123654</v>
      </c>
      <c r="E31" s="285">
        <f t="shared" ref="E31" si="13">D31+E27+E29</f>
        <v>43791855.68978136</v>
      </c>
      <c r="F31" s="285">
        <f t="shared" ref="F31" si="14">E31+F27+F29</f>
        <v>47144950.090395935</v>
      </c>
      <c r="G31" s="285">
        <f t="shared" ref="G31" si="15">F31+G27+G29</f>
        <v>50435103.282936029</v>
      </c>
      <c r="H31" s="285">
        <f t="shared" ref="H31" si="16">G31+H27+H29</f>
        <v>52984162.280791737</v>
      </c>
      <c r="I31" s="285">
        <f t="shared" ref="I31:N31" si="17">H31+I27+I29</f>
        <v>54878728.699946783</v>
      </c>
      <c r="J31" s="285">
        <f t="shared" si="17"/>
        <v>56044613.018547699</v>
      </c>
      <c r="K31" s="285">
        <f t="shared" si="17"/>
        <v>57094616.016514085</v>
      </c>
      <c r="L31" s="285">
        <f t="shared" si="17"/>
        <v>62482936.217389494</v>
      </c>
      <c r="M31" s="285">
        <f t="shared" si="17"/>
        <v>63075415.765374005</v>
      </c>
      <c r="N31" s="285">
        <f t="shared" si="17"/>
        <v>65435431.893729843</v>
      </c>
      <c r="O31" s="285"/>
    </row>
    <row r="32" spans="1:17">
      <c r="A32" s="392">
        <f t="shared" si="1"/>
        <v>24</v>
      </c>
      <c r="B32" s="315"/>
      <c r="C32" s="315"/>
      <c r="D32" s="315"/>
      <c r="E32" s="315"/>
      <c r="F32" s="315"/>
      <c r="G32" s="315"/>
      <c r="H32" s="315"/>
      <c r="I32" s="315"/>
      <c r="J32" s="315"/>
      <c r="K32" s="315"/>
      <c r="L32" s="315"/>
      <c r="M32" s="315"/>
      <c r="N32" s="315"/>
      <c r="O32" s="285"/>
    </row>
    <row r="33" spans="1:15">
      <c r="A33" s="392">
        <f t="shared" si="1"/>
        <v>25</v>
      </c>
      <c r="B33" s="315" t="s">
        <v>478</v>
      </c>
      <c r="C33" s="286">
        <v>-9.5899999999999996E-3</v>
      </c>
      <c r="D33" s="286">
        <v>-9.5899999999999996E-3</v>
      </c>
      <c r="E33" s="286">
        <v>-9.5899999999999996E-3</v>
      </c>
      <c r="F33" s="286">
        <v>-9.5899999999999996E-3</v>
      </c>
      <c r="G33" s="286">
        <v>1.9730000000000001E-2</v>
      </c>
      <c r="H33" s="286">
        <v>1.9730000000000001E-2</v>
      </c>
      <c r="I33" s="286">
        <v>1.9730000000000001E-2</v>
      </c>
      <c r="J33" s="286">
        <v>1.9730000000000001E-2</v>
      </c>
      <c r="K33" s="286">
        <v>1.9730000000000001E-2</v>
      </c>
      <c r="L33" s="286">
        <v>1.9730000000000001E-2</v>
      </c>
      <c r="M33" s="286">
        <v>1.9730000000000001E-2</v>
      </c>
      <c r="N33" s="286">
        <v>1.9730000000000001E-2</v>
      </c>
      <c r="O33" s="285"/>
    </row>
    <row r="34" spans="1:15">
      <c r="A34" s="392">
        <f t="shared" si="1"/>
        <v>26</v>
      </c>
      <c r="B34" s="315"/>
      <c r="C34" s="285"/>
      <c r="D34" s="285"/>
      <c r="E34" s="285"/>
      <c r="F34" s="285"/>
      <c r="G34" s="286"/>
      <c r="H34" s="286"/>
      <c r="I34" s="286"/>
      <c r="J34" s="286"/>
      <c r="K34" s="286"/>
      <c r="L34" s="286"/>
      <c r="M34" s="286"/>
      <c r="N34" s="286"/>
      <c r="O34" s="285"/>
    </row>
    <row r="35" spans="1:15">
      <c r="A35" s="392">
        <f t="shared" si="1"/>
        <v>27</v>
      </c>
      <c r="B35" s="315" t="s">
        <v>479</v>
      </c>
      <c r="C35" s="286"/>
      <c r="D35" s="286"/>
      <c r="E35" s="286"/>
      <c r="F35" s="286"/>
      <c r="G35" s="286">
        <v>-9.5899999999999996E-3</v>
      </c>
      <c r="H35" s="286">
        <v>-9.5899999999999996E-3</v>
      </c>
      <c r="I35" s="286">
        <v>-9.5899999999999996E-3</v>
      </c>
      <c r="J35" s="286"/>
      <c r="K35" s="286"/>
      <c r="L35" s="286"/>
      <c r="M35" s="286"/>
      <c r="N35" s="286"/>
      <c r="O35" s="285"/>
    </row>
    <row r="36" spans="1:15">
      <c r="A36" s="392">
        <f t="shared" si="1"/>
        <v>28</v>
      </c>
      <c r="B36" s="315"/>
      <c r="C36" s="285"/>
      <c r="D36" s="285"/>
      <c r="E36" s="285"/>
      <c r="F36" s="285"/>
      <c r="G36" s="285"/>
      <c r="H36" s="285"/>
      <c r="I36" s="285"/>
      <c r="J36" s="285"/>
      <c r="K36" s="285"/>
      <c r="L36" s="285"/>
      <c r="M36" s="285"/>
      <c r="N36" s="285"/>
      <c r="O36" s="285"/>
    </row>
    <row r="37" spans="1:15">
      <c r="A37" s="392">
        <f t="shared" si="1"/>
        <v>29</v>
      </c>
      <c r="B37" s="315" t="s">
        <v>232</v>
      </c>
      <c r="C37" s="285">
        <f>(C13*C33)+(C17*C35)</f>
        <v>-714248.55606999993</v>
      </c>
      <c r="D37" s="285">
        <f t="shared" ref="D37:N37" si="18">(D13*D33)+(D17*D35)</f>
        <v>-529917.70838999993</v>
      </c>
      <c r="E37" s="285">
        <f t="shared" si="18"/>
        <v>-496829.38892999996</v>
      </c>
      <c r="F37" s="285">
        <f t="shared" si="18"/>
        <v>-417379.72009999998</v>
      </c>
      <c r="G37" s="285">
        <f t="shared" si="18"/>
        <v>500581.39133000007</v>
      </c>
      <c r="H37" s="285">
        <f t="shared" si="18"/>
        <v>267251.78129999997</v>
      </c>
      <c r="I37" s="285">
        <f t="shared" si="18"/>
        <v>224339.8603</v>
      </c>
      <c r="J37" s="285">
        <f t="shared" si="18"/>
        <v>240976.53776000001</v>
      </c>
      <c r="K37" s="285">
        <f t="shared" si="18"/>
        <v>361720.38906000002</v>
      </c>
      <c r="L37" s="285">
        <f t="shared" si="18"/>
        <v>578708.46281000006</v>
      </c>
      <c r="M37" s="285">
        <f t="shared" si="18"/>
        <v>1430215.40821</v>
      </c>
      <c r="N37" s="285">
        <f t="shared" si="18"/>
        <v>1715556.03477</v>
      </c>
      <c r="O37" s="285">
        <f>SUM(C37:N37)</f>
        <v>3160974.4920500005</v>
      </c>
    </row>
    <row r="38" spans="1:15">
      <c r="A38" s="392">
        <f t="shared" si="1"/>
        <v>30</v>
      </c>
      <c r="B38" s="315"/>
      <c r="C38" s="285"/>
      <c r="D38" s="285"/>
      <c r="E38" s="285"/>
      <c r="F38" s="285"/>
      <c r="G38" s="285"/>
      <c r="H38" s="285"/>
      <c r="I38" s="285"/>
      <c r="J38" s="285"/>
      <c r="K38" s="285"/>
      <c r="L38" s="285"/>
      <c r="M38" s="285"/>
      <c r="N38" s="285"/>
      <c r="O38" s="285"/>
    </row>
    <row r="39" spans="1:15">
      <c r="A39" s="392">
        <f t="shared" si="1"/>
        <v>31</v>
      </c>
      <c r="B39" s="287" t="s">
        <v>233</v>
      </c>
      <c r="C39" s="288">
        <v>0.95589999999999997</v>
      </c>
      <c r="D39" s="288">
        <v>0.95589999999999997</v>
      </c>
      <c r="E39" s="288">
        <v>0.95589999999999997</v>
      </c>
      <c r="F39" s="288">
        <v>0.95589999999999997</v>
      </c>
      <c r="G39" s="288">
        <v>0.95589999999999997</v>
      </c>
      <c r="H39" s="288">
        <v>0.95589999999999997</v>
      </c>
      <c r="I39" s="288">
        <v>0.95589999999999997</v>
      </c>
      <c r="J39" s="288">
        <v>0.95589999999999997</v>
      </c>
      <c r="K39" s="288">
        <v>0.95589999999999997</v>
      </c>
      <c r="L39" s="288">
        <v>0.95589999999999997</v>
      </c>
      <c r="M39" s="288">
        <v>0.95589999999999997</v>
      </c>
      <c r="N39" s="288">
        <v>0.95589999999999997</v>
      </c>
      <c r="O39" s="285"/>
    </row>
    <row r="40" spans="1:15">
      <c r="A40" s="392">
        <f t="shared" si="1"/>
        <v>32</v>
      </c>
      <c r="B40" s="315"/>
      <c r="C40" s="285"/>
      <c r="D40" s="285"/>
      <c r="E40" s="285"/>
      <c r="F40" s="285"/>
      <c r="G40" s="285"/>
      <c r="H40" s="285"/>
      <c r="I40" s="285"/>
      <c r="J40" s="285"/>
      <c r="K40" s="285"/>
      <c r="L40" s="285"/>
      <c r="M40" s="285"/>
      <c r="N40" s="285"/>
      <c r="O40" s="285"/>
    </row>
    <row r="41" spans="1:15">
      <c r="A41" s="392">
        <f t="shared" si="1"/>
        <v>33</v>
      </c>
      <c r="B41" s="315" t="s">
        <v>234</v>
      </c>
      <c r="C41" s="232">
        <f t="shared" ref="C41:F41" si="19">C39*C37</f>
        <v>-682750.19474731293</v>
      </c>
      <c r="D41" s="232">
        <f t="shared" si="19"/>
        <v>-506548.33745000092</v>
      </c>
      <c r="E41" s="232">
        <f t="shared" si="19"/>
        <v>-474919.21287818695</v>
      </c>
      <c r="F41" s="232">
        <f t="shared" si="19"/>
        <v>-398973.27444358997</v>
      </c>
      <c r="G41" s="232">
        <f>G39*G37</f>
        <v>478505.75197234703</v>
      </c>
      <c r="H41" s="232">
        <f t="shared" ref="H41:N41" si="20">H39*H37</f>
        <v>255465.97774466997</v>
      </c>
      <c r="I41" s="232">
        <f t="shared" si="20"/>
        <v>214446.47246076999</v>
      </c>
      <c r="J41" s="232">
        <f t="shared" si="20"/>
        <v>230349.47244478401</v>
      </c>
      <c r="K41" s="232">
        <f t="shared" si="20"/>
        <v>345768.51990245399</v>
      </c>
      <c r="L41" s="232">
        <f t="shared" si="20"/>
        <v>553187.41960007907</v>
      </c>
      <c r="M41" s="232">
        <f t="shared" si="20"/>
        <v>1367142.9087079391</v>
      </c>
      <c r="N41" s="232">
        <f t="shared" si="20"/>
        <v>1639900.0136366431</v>
      </c>
      <c r="O41" s="285">
        <f>SUM(C41:N41)</f>
        <v>3021575.5169505957</v>
      </c>
    </row>
    <row r="42" spans="1:15">
      <c r="A42" s="392">
        <f t="shared" si="1"/>
        <v>34</v>
      </c>
      <c r="B42" s="315"/>
      <c r="C42" s="285"/>
      <c r="D42" s="285"/>
      <c r="E42" s="285"/>
      <c r="F42" s="285"/>
      <c r="G42" s="285"/>
      <c r="H42" s="285"/>
      <c r="I42" s="285"/>
      <c r="J42" s="285"/>
      <c r="K42" s="285"/>
      <c r="L42" s="285"/>
      <c r="M42" s="285"/>
      <c r="N42" s="285"/>
      <c r="O42" s="285"/>
    </row>
    <row r="43" spans="1:15">
      <c r="A43" s="392">
        <f t="shared" si="1"/>
        <v>35</v>
      </c>
      <c r="B43" s="315" t="s">
        <v>480</v>
      </c>
      <c r="C43" s="285">
        <f>20474523.58+'Res Deferral Calc 2015'!C27+'Res Deferral Calc 2015'!C29-'Res Deferral Calc 2015'!C41</f>
        <v>27853440.739857581</v>
      </c>
      <c r="D43" s="285">
        <f>C43+D27+D29-D41</f>
        <v>39541633.039320961</v>
      </c>
      <c r="E43" s="285">
        <f t="shared" ref="E43:N43" si="21">D43+E27+E29-E41</f>
        <v>47799168.924856856</v>
      </c>
      <c r="F43" s="285">
        <f t="shared" si="21"/>
        <v>51551236.59991502</v>
      </c>
      <c r="G43" s="285">
        <f t="shared" si="21"/>
        <v>54362884.040482767</v>
      </c>
      <c r="H43" s="285">
        <f t="shared" si="21"/>
        <v>56656477.060593806</v>
      </c>
      <c r="I43" s="285">
        <f t="shared" si="21"/>
        <v>58336597.007288083</v>
      </c>
      <c r="J43" s="285">
        <f t="shared" si="21"/>
        <v>59272131.853444211</v>
      </c>
      <c r="K43" s="285">
        <f t="shared" si="21"/>
        <v>59976366.331508145</v>
      </c>
      <c r="L43" s="285">
        <f t="shared" si="21"/>
        <v>64811499.112783477</v>
      </c>
      <c r="M43" s="285">
        <f t="shared" si="21"/>
        <v>64036835.752060048</v>
      </c>
      <c r="N43" s="285">
        <f t="shared" si="21"/>
        <v>64756951.866779245</v>
      </c>
      <c r="O43" s="285"/>
    </row>
    <row r="44" spans="1:15">
      <c r="A44" s="392">
        <f t="shared" si="1"/>
        <v>36</v>
      </c>
      <c r="B44" s="315"/>
      <c r="C44" s="285"/>
      <c r="D44" s="285"/>
      <c r="E44" s="285"/>
      <c r="F44" s="285"/>
      <c r="G44" s="285"/>
      <c r="H44" s="285"/>
      <c r="I44" s="285"/>
      <c r="J44" s="285"/>
      <c r="K44" s="285"/>
      <c r="L44" s="285"/>
      <c r="M44" s="285"/>
      <c r="N44" s="285"/>
      <c r="O44" s="285"/>
    </row>
    <row r="45" spans="1:15">
      <c r="A45" s="392">
        <f t="shared" si="1"/>
        <v>37</v>
      </c>
      <c r="B45" s="316" t="s">
        <v>481</v>
      </c>
      <c r="C45" s="286">
        <v>6.7699999999999982E-3</v>
      </c>
      <c r="D45" s="286">
        <v>6.7699999999999982E-3</v>
      </c>
      <c r="E45" s="286">
        <v>6.7699999999999982E-3</v>
      </c>
      <c r="F45" s="286">
        <v>6.7699999999999982E-3</v>
      </c>
      <c r="G45" s="286">
        <v>3.9300000000000002E-2</v>
      </c>
      <c r="H45" s="286">
        <v>3.9300000000000002E-2</v>
      </c>
      <c r="I45" s="286">
        <v>3.9300000000000002E-2</v>
      </c>
      <c r="J45" s="286">
        <v>3.9300000000000002E-2</v>
      </c>
      <c r="K45" s="286">
        <v>3.9300000000000002E-2</v>
      </c>
      <c r="L45" s="286">
        <v>3.9300000000000002E-2</v>
      </c>
      <c r="M45" s="286">
        <v>3.9300000000000002E-2</v>
      </c>
      <c r="N45" s="286">
        <v>3.9300000000000002E-2</v>
      </c>
    </row>
    <row r="46" spans="1:15">
      <c r="A46" s="392">
        <f t="shared" si="1"/>
        <v>38</v>
      </c>
      <c r="C46" s="286"/>
      <c r="D46" s="286"/>
      <c r="E46" s="286"/>
      <c r="F46" s="286"/>
      <c r="G46" s="286"/>
      <c r="H46" s="286"/>
      <c r="I46" s="286"/>
      <c r="J46" s="286"/>
      <c r="K46" s="286"/>
      <c r="L46" s="286"/>
      <c r="M46" s="286"/>
      <c r="N46" s="286"/>
    </row>
    <row r="47" spans="1:15">
      <c r="A47" s="392">
        <f t="shared" si="1"/>
        <v>39</v>
      </c>
      <c r="B47" s="316" t="s">
        <v>482</v>
      </c>
      <c r="C47" s="286"/>
      <c r="D47" s="286"/>
      <c r="E47" s="286"/>
      <c r="F47" s="286"/>
      <c r="G47" s="286">
        <v>6.7699999999999982E-3</v>
      </c>
      <c r="H47" s="286">
        <v>6.7699999999999982E-3</v>
      </c>
      <c r="I47" s="286">
        <v>6.7699999999999982E-3</v>
      </c>
      <c r="J47" s="286"/>
      <c r="K47" s="286"/>
      <c r="L47" s="286"/>
      <c r="M47" s="286"/>
      <c r="N47" s="286"/>
    </row>
    <row r="48" spans="1:15">
      <c r="A48" s="392">
        <f t="shared" si="1"/>
        <v>40</v>
      </c>
    </row>
    <row r="49" spans="1:15">
      <c r="A49" s="392">
        <f t="shared" si="1"/>
        <v>41</v>
      </c>
      <c r="B49" s="316" t="s">
        <v>483</v>
      </c>
      <c r="C49" s="285">
        <f>(C13*C45)+(C17*C47)</f>
        <v>504219.26220999984</v>
      </c>
      <c r="D49" s="285">
        <f t="shared" ref="D49:N49" si="22">(D13*D45)+(D17*D47)</f>
        <v>374092.06316999992</v>
      </c>
      <c r="E49" s="285">
        <f t="shared" si="22"/>
        <v>350733.57278999989</v>
      </c>
      <c r="F49" s="285">
        <f t="shared" si="22"/>
        <v>294646.58029999991</v>
      </c>
      <c r="G49" s="285">
        <f t="shared" si="22"/>
        <v>958712.12171000009</v>
      </c>
      <c r="H49" s="285">
        <f t="shared" si="22"/>
        <v>539896.05232000002</v>
      </c>
      <c r="I49" s="285">
        <f t="shared" si="22"/>
        <v>448340.20365000004</v>
      </c>
      <c r="J49" s="285">
        <f t="shared" si="22"/>
        <v>479998.88160000002</v>
      </c>
      <c r="K49" s="285">
        <f t="shared" si="22"/>
        <v>720507.41460000002</v>
      </c>
      <c r="L49" s="285">
        <f t="shared" si="22"/>
        <v>1152723.9021000001</v>
      </c>
      <c r="M49" s="285">
        <f t="shared" si="22"/>
        <v>2848832.5161000001</v>
      </c>
      <c r="N49" s="285">
        <f t="shared" si="22"/>
        <v>3417199.8056999999</v>
      </c>
      <c r="O49" s="270">
        <f>SUM(C49:N49)</f>
        <v>12089902.376250001</v>
      </c>
    </row>
    <row r="50" spans="1:15">
      <c r="A50" s="392">
        <f t="shared" si="1"/>
        <v>42</v>
      </c>
    </row>
    <row r="51" spans="1:15">
      <c r="A51" s="392">
        <f t="shared" si="1"/>
        <v>43</v>
      </c>
    </row>
    <row r="52" spans="1:15">
      <c r="A52" s="392">
        <f t="shared" si="1"/>
        <v>44</v>
      </c>
      <c r="B52" s="473" t="s">
        <v>484</v>
      </c>
      <c r="C52" s="473"/>
      <c r="D52" s="473"/>
      <c r="E52" s="473"/>
      <c r="F52" s="473"/>
      <c r="G52" s="473"/>
      <c r="H52" s="473"/>
      <c r="I52" s="473"/>
      <c r="J52" s="473"/>
      <c r="K52" s="473"/>
      <c r="L52" s="473"/>
      <c r="M52" s="473"/>
      <c r="N52" s="473"/>
    </row>
    <row r="53" spans="1:15">
      <c r="A53" s="392">
        <f t="shared" si="1"/>
        <v>45</v>
      </c>
      <c r="B53" s="281" t="s">
        <v>485</v>
      </c>
      <c r="C53" s="281"/>
      <c r="D53" s="281"/>
      <c r="E53" s="281"/>
      <c r="F53" s="281"/>
      <c r="G53" s="281"/>
      <c r="H53" s="281"/>
      <c r="I53" s="281"/>
      <c r="J53" s="281"/>
      <c r="K53" s="281"/>
      <c r="L53" s="281"/>
      <c r="M53" s="281"/>
      <c r="N53" s="281"/>
    </row>
    <row r="54" spans="1:15">
      <c r="A54" s="392">
        <f t="shared" si="1"/>
        <v>46</v>
      </c>
      <c r="B54" s="281" t="s">
        <v>486</v>
      </c>
      <c r="C54" s="281"/>
      <c r="D54" s="281"/>
      <c r="E54" s="281"/>
      <c r="F54" s="281"/>
      <c r="G54" s="281"/>
      <c r="H54" s="281"/>
      <c r="I54" s="281"/>
      <c r="J54" s="281"/>
      <c r="K54" s="281"/>
      <c r="L54" s="281"/>
      <c r="M54" s="281"/>
      <c r="N54" s="281"/>
    </row>
    <row r="55" spans="1:15">
      <c r="A55" s="392">
        <f t="shared" si="1"/>
        <v>47</v>
      </c>
      <c r="B55" s="287" t="s">
        <v>487</v>
      </c>
      <c r="C55" s="287"/>
      <c r="D55" s="287"/>
      <c r="E55" s="287"/>
      <c r="F55" s="287"/>
      <c r="G55" s="287"/>
      <c r="H55" s="287"/>
      <c r="I55" s="287"/>
      <c r="J55" s="287"/>
      <c r="K55" s="287"/>
      <c r="L55" s="287"/>
      <c r="M55" s="287"/>
      <c r="N55" s="287"/>
    </row>
    <row r="56" spans="1:15">
      <c r="A56" s="263"/>
    </row>
    <row r="57" spans="1:15">
      <c r="A57" s="263"/>
      <c r="B57" s="315" t="s">
        <v>488</v>
      </c>
    </row>
    <row r="58" spans="1:15">
      <c r="A58" s="263"/>
    </row>
    <row r="59" spans="1:15">
      <c r="A59" s="263"/>
    </row>
    <row r="60" spans="1:15">
      <c r="A60" s="392"/>
    </row>
    <row r="61" spans="1:15">
      <c r="A61" s="392"/>
      <c r="B61" s="315"/>
      <c r="I61" s="270"/>
    </row>
    <row r="62" spans="1:15">
      <c r="A62" s="392"/>
      <c r="B62" s="315"/>
    </row>
    <row r="63" spans="1:15">
      <c r="A63" s="392"/>
      <c r="B63" s="315"/>
    </row>
    <row r="64" spans="1:15">
      <c r="A64" s="392"/>
    </row>
    <row r="65" spans="1:1">
      <c r="A65" s="392"/>
    </row>
    <row r="66" spans="1:1">
      <c r="A66" s="392"/>
    </row>
    <row r="67" spans="1:1">
      <c r="A67" s="392"/>
    </row>
    <row r="68" spans="1:1">
      <c r="A68" s="392"/>
    </row>
    <row r="69" spans="1:1">
      <c r="A69" s="392"/>
    </row>
    <row r="70" spans="1:1">
      <c r="A70" s="392"/>
    </row>
    <row r="71" spans="1:1">
      <c r="A71" s="392"/>
    </row>
    <row r="72" spans="1:1">
      <c r="A72" s="392"/>
    </row>
    <row r="73" spans="1:1">
      <c r="A73" s="392"/>
    </row>
    <row r="74" spans="1:1">
      <c r="A74" s="392"/>
    </row>
    <row r="75" spans="1:1">
      <c r="A75" s="392"/>
    </row>
    <row r="76" spans="1:1">
      <c r="A76" s="392"/>
    </row>
    <row r="77" spans="1:1">
      <c r="A77" s="392"/>
    </row>
    <row r="78" spans="1:1">
      <c r="A78" s="392"/>
    </row>
    <row r="79" spans="1:1">
      <c r="A79" s="392"/>
    </row>
    <row r="80" spans="1:1">
      <c r="A80" s="392"/>
    </row>
    <row r="81" spans="1:1">
      <c r="A81" s="392"/>
    </row>
    <row r="82" spans="1:1">
      <c r="A82" s="392"/>
    </row>
    <row r="83" spans="1:1">
      <c r="A83" s="392"/>
    </row>
    <row r="84" spans="1:1">
      <c r="A84" s="392"/>
    </row>
    <row r="85" spans="1:1">
      <c r="A85" s="392"/>
    </row>
    <row r="86" spans="1:1">
      <c r="A86" s="392"/>
    </row>
    <row r="87" spans="1:1">
      <c r="A87" s="392"/>
    </row>
    <row r="88" spans="1:1">
      <c r="A88" s="392"/>
    </row>
    <row r="89" spans="1:1">
      <c r="A89" s="392"/>
    </row>
    <row r="90" spans="1:1">
      <c r="A90" s="392"/>
    </row>
    <row r="91" spans="1:1">
      <c r="A91" s="392"/>
    </row>
    <row r="92" spans="1:1">
      <c r="A92" s="392"/>
    </row>
    <row r="93" spans="1:1">
      <c r="A93" s="392"/>
    </row>
    <row r="94" spans="1:1">
      <c r="A94" s="392"/>
    </row>
    <row r="95" spans="1:1">
      <c r="A95" s="392"/>
    </row>
    <row r="96" spans="1:1">
      <c r="A96" s="392"/>
    </row>
    <row r="97" spans="1:1">
      <c r="A97" s="392"/>
    </row>
    <row r="98" spans="1:1">
      <c r="A98" s="392"/>
    </row>
    <row r="99" spans="1:1">
      <c r="A99" s="392"/>
    </row>
    <row r="100" spans="1:1">
      <c r="A100" s="392"/>
    </row>
    <row r="101" spans="1:1">
      <c r="A101" s="392"/>
    </row>
    <row r="102" spans="1:1">
      <c r="A102" s="392"/>
    </row>
    <row r="103" spans="1:1">
      <c r="A103" s="392"/>
    </row>
  </sheetData>
  <mergeCells count="4">
    <mergeCell ref="A1:O1"/>
    <mergeCell ref="A2:O2"/>
    <mergeCell ref="A3:O3"/>
    <mergeCell ref="A4:O4"/>
  </mergeCells>
  <printOptions horizontalCentered="1"/>
  <pageMargins left="0.7" right="0.7" top="0.75" bottom="0.75" header="0.3" footer="0.3"/>
  <pageSetup scale="51"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56"/>
  <sheetViews>
    <sheetView zoomScale="59" workbookViewId="0">
      <selection activeCell="I68" sqref="I68"/>
    </sheetView>
  </sheetViews>
  <sheetFormatPr baseColWidth="10" defaultColWidth="9.1640625" defaultRowHeight="13"/>
  <cols>
    <col min="1" max="1" width="3.6640625" style="316" customWidth="1"/>
    <col min="2" max="2" width="41" style="316" customWidth="1"/>
    <col min="3" max="15" width="13.6640625" style="316" customWidth="1"/>
    <col min="16" max="17" width="12.33203125" style="316" customWidth="1"/>
    <col min="18" max="16384" width="9.1640625" style="316"/>
  </cols>
  <sheetData>
    <row r="1" spans="1:20">
      <c r="A1" s="624" t="s">
        <v>22</v>
      </c>
      <c r="B1" s="624"/>
      <c r="C1" s="624"/>
      <c r="D1" s="624"/>
      <c r="E1" s="624"/>
      <c r="F1" s="624"/>
      <c r="G1" s="624"/>
      <c r="H1" s="624"/>
      <c r="I1" s="624"/>
      <c r="J1" s="624"/>
      <c r="K1" s="624"/>
      <c r="L1" s="624"/>
      <c r="M1" s="624"/>
      <c r="N1" s="624"/>
      <c r="O1" s="624"/>
    </row>
    <row r="2" spans="1:20">
      <c r="A2" s="624" t="s">
        <v>464</v>
      </c>
      <c r="B2" s="624"/>
      <c r="C2" s="624"/>
      <c r="D2" s="624"/>
      <c r="E2" s="624"/>
      <c r="F2" s="624"/>
      <c r="G2" s="624"/>
      <c r="H2" s="624"/>
      <c r="I2" s="624"/>
      <c r="J2" s="624"/>
      <c r="K2" s="624"/>
      <c r="L2" s="624"/>
      <c r="M2" s="624"/>
      <c r="N2" s="624"/>
      <c r="O2" s="624"/>
    </row>
    <row r="3" spans="1:20">
      <c r="A3" s="624" t="s">
        <v>489</v>
      </c>
      <c r="B3" s="624"/>
      <c r="C3" s="624"/>
      <c r="D3" s="624"/>
      <c r="E3" s="624"/>
      <c r="F3" s="624"/>
      <c r="G3" s="624"/>
      <c r="H3" s="624"/>
      <c r="I3" s="624"/>
      <c r="J3" s="624"/>
      <c r="K3" s="624"/>
      <c r="L3" s="624"/>
      <c r="M3" s="624"/>
      <c r="N3" s="624"/>
      <c r="O3" s="624"/>
    </row>
    <row r="4" spans="1:20">
      <c r="A4" s="624" t="s">
        <v>466</v>
      </c>
      <c r="B4" s="624"/>
      <c r="C4" s="624"/>
      <c r="D4" s="624"/>
      <c r="E4" s="624"/>
      <c r="F4" s="624"/>
      <c r="G4" s="624"/>
      <c r="H4" s="624"/>
      <c r="I4" s="624"/>
      <c r="J4" s="624"/>
      <c r="K4" s="624"/>
      <c r="L4" s="624"/>
      <c r="M4" s="624"/>
      <c r="N4" s="624"/>
      <c r="O4" s="624"/>
    </row>
    <row r="5" spans="1:20">
      <c r="A5" s="392"/>
      <c r="B5" s="392"/>
      <c r="C5" s="392"/>
      <c r="D5" s="392"/>
      <c r="E5" s="392"/>
      <c r="F5" s="392"/>
      <c r="G5" s="392"/>
      <c r="H5" s="392"/>
      <c r="I5" s="392"/>
      <c r="J5" s="392"/>
      <c r="K5" s="392"/>
      <c r="L5" s="392"/>
      <c r="M5" s="392"/>
      <c r="N5" s="392"/>
      <c r="O5" s="315"/>
    </row>
    <row r="6" spans="1:20">
      <c r="A6" s="315"/>
      <c r="B6" s="315"/>
      <c r="C6" s="315"/>
      <c r="D6" s="315"/>
      <c r="E6" s="315"/>
      <c r="F6" s="315"/>
      <c r="G6" s="315"/>
      <c r="H6" s="315"/>
      <c r="I6" s="315"/>
      <c r="J6" s="315"/>
      <c r="K6" s="315"/>
      <c r="L6" s="315"/>
      <c r="M6" s="315"/>
      <c r="N6" s="315"/>
      <c r="O6" s="315"/>
    </row>
    <row r="7" spans="1:20" ht="25.5" customHeight="1">
      <c r="A7" s="278"/>
      <c r="B7" s="279"/>
      <c r="C7" s="175">
        <v>42005</v>
      </c>
      <c r="D7" s="175">
        <f t="shared" ref="D7:N7" si="0">EDATE(C7,1)</f>
        <v>42036</v>
      </c>
      <c r="E7" s="175">
        <f t="shared" si="0"/>
        <v>42064</v>
      </c>
      <c r="F7" s="175">
        <f t="shared" si="0"/>
        <v>42095</v>
      </c>
      <c r="G7" s="175">
        <f t="shared" si="0"/>
        <v>42125</v>
      </c>
      <c r="H7" s="175">
        <f t="shared" si="0"/>
        <v>42156</v>
      </c>
      <c r="I7" s="175">
        <f t="shared" si="0"/>
        <v>42186</v>
      </c>
      <c r="J7" s="175">
        <f t="shared" si="0"/>
        <v>42217</v>
      </c>
      <c r="K7" s="175">
        <f t="shared" si="0"/>
        <v>42248</v>
      </c>
      <c r="L7" s="175">
        <f t="shared" si="0"/>
        <v>42278</v>
      </c>
      <c r="M7" s="175">
        <f t="shared" si="0"/>
        <v>42309</v>
      </c>
      <c r="N7" s="175">
        <f t="shared" si="0"/>
        <v>42339</v>
      </c>
      <c r="O7" s="175" t="s">
        <v>143</v>
      </c>
      <c r="P7" s="50"/>
      <c r="Q7" s="50"/>
      <c r="R7" s="163"/>
      <c r="S7" s="163"/>
      <c r="T7" s="163"/>
    </row>
    <row r="8" spans="1:20">
      <c r="A8" s="392"/>
      <c r="B8" s="392"/>
      <c r="C8" s="392"/>
      <c r="D8" s="392"/>
      <c r="E8" s="392"/>
      <c r="F8" s="392"/>
      <c r="G8" s="392"/>
      <c r="H8" s="392"/>
      <c r="I8" s="392"/>
      <c r="J8" s="392"/>
      <c r="K8" s="392"/>
      <c r="L8" s="392"/>
      <c r="M8" s="392"/>
      <c r="N8" s="392"/>
      <c r="O8" s="315"/>
    </row>
    <row r="9" spans="1:20">
      <c r="A9" s="392">
        <v>1</v>
      </c>
      <c r="B9" s="473" t="s">
        <v>467</v>
      </c>
      <c r="C9" s="474">
        <v>57457</v>
      </c>
      <c r="D9" s="474">
        <v>57483</v>
      </c>
      <c r="E9" s="474">
        <v>57471</v>
      </c>
      <c r="F9" s="474">
        <v>57411</v>
      </c>
      <c r="G9" s="474">
        <v>57394</v>
      </c>
      <c r="H9" s="474">
        <v>57394</v>
      </c>
      <c r="I9" s="474">
        <v>57312</v>
      </c>
      <c r="J9" s="474">
        <v>57243</v>
      </c>
      <c r="K9" s="474">
        <v>57228</v>
      </c>
      <c r="L9" s="474">
        <v>57238</v>
      </c>
      <c r="M9" s="474">
        <v>57388</v>
      </c>
      <c r="N9" s="474">
        <v>57540</v>
      </c>
      <c r="O9" s="280"/>
      <c r="P9" s="164"/>
      <c r="Q9" s="164"/>
    </row>
    <row r="10" spans="1:20">
      <c r="A10" s="392">
        <f>A9+1</f>
        <v>2</v>
      </c>
      <c r="B10" s="281" t="s">
        <v>468</v>
      </c>
      <c r="C10" s="282">
        <v>197.68865315040483</v>
      </c>
      <c r="D10" s="282">
        <v>184.00517751654226</v>
      </c>
      <c r="E10" s="282">
        <v>165.4736633283789</v>
      </c>
      <c r="F10" s="282">
        <v>126.97901175500651</v>
      </c>
      <c r="G10" s="282">
        <v>95.067786132979037</v>
      </c>
      <c r="H10" s="282">
        <v>73.677671629321466</v>
      </c>
      <c r="I10" s="282">
        <v>65.927791703472906</v>
      </c>
      <c r="J10" s="282">
        <v>62.114317835130514</v>
      </c>
      <c r="K10" s="282">
        <v>68.771204624911391</v>
      </c>
      <c r="L10" s="282">
        <v>108.2106266270212</v>
      </c>
      <c r="M10" s="282">
        <v>162.39917191910399</v>
      </c>
      <c r="N10" s="282">
        <v>200.81492377772696</v>
      </c>
      <c r="O10" s="283"/>
      <c r="P10" s="165"/>
      <c r="Q10" s="165"/>
    </row>
    <row r="11" spans="1:20">
      <c r="A11" s="392">
        <f t="shared" ref="A11:A53" si="1">A10+1</f>
        <v>3</v>
      </c>
      <c r="B11" s="315" t="s">
        <v>469</v>
      </c>
      <c r="C11" s="285">
        <f t="shared" ref="C11:N11" si="2">C9*C10</f>
        <v>11358596.94406281</v>
      </c>
      <c r="D11" s="285">
        <f t="shared" si="2"/>
        <v>10577169.619183399</v>
      </c>
      <c r="E11" s="285">
        <f t="shared" si="2"/>
        <v>9509936.9051452633</v>
      </c>
      <c r="F11" s="285">
        <f t="shared" si="2"/>
        <v>7289992.0438666791</v>
      </c>
      <c r="G11" s="285">
        <f t="shared" si="2"/>
        <v>5456320.5173161989</v>
      </c>
      <c r="H11" s="285">
        <f t="shared" si="2"/>
        <v>4228656.2854932761</v>
      </c>
      <c r="I11" s="285">
        <f t="shared" si="2"/>
        <v>3778453.598109439</v>
      </c>
      <c r="J11" s="285">
        <f t="shared" si="2"/>
        <v>3555609.8958363761</v>
      </c>
      <c r="K11" s="285">
        <f t="shared" si="2"/>
        <v>3935638.4982744292</v>
      </c>
      <c r="L11" s="285">
        <f t="shared" si="2"/>
        <v>6193759.8468774389</v>
      </c>
      <c r="M11" s="285">
        <f t="shared" si="2"/>
        <v>9319763.6780935396</v>
      </c>
      <c r="N11" s="285">
        <f t="shared" si="2"/>
        <v>11554890.714170409</v>
      </c>
      <c r="O11" s="285">
        <f>SUM(C11:N11)</f>
        <v>86758788.546429262</v>
      </c>
      <c r="P11" s="166"/>
      <c r="Q11" s="166"/>
    </row>
    <row r="12" spans="1:20">
      <c r="A12" s="392">
        <f t="shared" si="1"/>
        <v>4</v>
      </c>
      <c r="B12" s="315"/>
      <c r="C12" s="315"/>
      <c r="D12" s="315"/>
      <c r="E12" s="315"/>
      <c r="F12" s="315"/>
      <c r="G12" s="315"/>
      <c r="H12" s="315"/>
      <c r="I12" s="315"/>
      <c r="J12" s="315"/>
      <c r="K12" s="315"/>
      <c r="L12" s="315"/>
      <c r="M12" s="315"/>
      <c r="N12" s="315"/>
      <c r="O12" s="315"/>
      <c r="P12" s="167"/>
      <c r="Q12" s="167"/>
    </row>
    <row r="13" spans="1:20">
      <c r="A13" s="392">
        <f t="shared" si="1"/>
        <v>5</v>
      </c>
      <c r="B13" s="473" t="s">
        <v>470</v>
      </c>
      <c r="C13" s="474">
        <v>35273672</v>
      </c>
      <c r="D13" s="474">
        <v>27448448</v>
      </c>
      <c r="E13" s="474">
        <v>28001355</v>
      </c>
      <c r="F13" s="474">
        <v>24380307</v>
      </c>
      <c r="G13" s="474">
        <v>15425355</v>
      </c>
      <c r="H13" s="474">
        <v>12462695</v>
      </c>
      <c r="I13" s="474">
        <v>11375904</v>
      </c>
      <c r="J13" s="474">
        <v>12274384</v>
      </c>
      <c r="K13" s="474">
        <v>13616721</v>
      </c>
      <c r="L13" s="474">
        <v>18282881</v>
      </c>
      <c r="M13" s="474">
        <v>32024932</v>
      </c>
      <c r="N13" s="474">
        <v>45796601</v>
      </c>
      <c r="O13" s="315"/>
      <c r="P13" s="164"/>
      <c r="Q13" s="164"/>
    </row>
    <row r="14" spans="1:20">
      <c r="A14" s="392">
        <f t="shared" si="1"/>
        <v>6</v>
      </c>
      <c r="B14" s="281" t="s">
        <v>471</v>
      </c>
      <c r="C14" s="284">
        <v>0.27781</v>
      </c>
      <c r="D14" s="284">
        <v>0.27781</v>
      </c>
      <c r="E14" s="284">
        <v>0.27781</v>
      </c>
      <c r="F14" s="284">
        <v>0.27781</v>
      </c>
      <c r="G14" s="284">
        <v>0.26756999999999997</v>
      </c>
      <c r="H14" s="284">
        <v>0.26756999999999997</v>
      </c>
      <c r="I14" s="284">
        <v>0.26756999999999997</v>
      </c>
      <c r="J14" s="284">
        <v>0.26756999999999997</v>
      </c>
      <c r="K14" s="284">
        <v>0.26756999999999997</v>
      </c>
      <c r="L14" s="284">
        <v>0.26756999999999997</v>
      </c>
      <c r="M14" s="284">
        <v>0.26756999999999997</v>
      </c>
      <c r="N14" s="284">
        <v>0.26756999999999997</v>
      </c>
      <c r="O14" s="286"/>
      <c r="P14" s="168"/>
      <c r="Q14" s="168"/>
    </row>
    <row r="15" spans="1:20">
      <c r="A15" s="392">
        <f t="shared" si="1"/>
        <v>7</v>
      </c>
      <c r="B15" s="315" t="s">
        <v>472</v>
      </c>
      <c r="C15" s="285">
        <f t="shared" ref="C15:N15" si="3">C13*C14</f>
        <v>9799378.8183200005</v>
      </c>
      <c r="D15" s="285">
        <f t="shared" si="3"/>
        <v>7625453.3388799997</v>
      </c>
      <c r="E15" s="285">
        <f t="shared" si="3"/>
        <v>7779056.43255</v>
      </c>
      <c r="F15" s="285">
        <f t="shared" si="3"/>
        <v>6773093.0876700003</v>
      </c>
      <c r="G15" s="285">
        <f t="shared" si="3"/>
        <v>4127362.2373499996</v>
      </c>
      <c r="H15" s="285">
        <f t="shared" si="3"/>
        <v>3334643.3011499997</v>
      </c>
      <c r="I15" s="285">
        <f t="shared" si="3"/>
        <v>3043850.6332799997</v>
      </c>
      <c r="J15" s="285">
        <f t="shared" si="3"/>
        <v>3284256.9268799997</v>
      </c>
      <c r="K15" s="285">
        <f t="shared" si="3"/>
        <v>3643426.0379699995</v>
      </c>
      <c r="L15" s="285">
        <f t="shared" si="3"/>
        <v>4891950.4691699995</v>
      </c>
      <c r="M15" s="285">
        <f t="shared" si="3"/>
        <v>8568911.0552399997</v>
      </c>
      <c r="N15" s="285">
        <f t="shared" si="3"/>
        <v>12253796.529569998</v>
      </c>
      <c r="O15" s="285">
        <f>SUM(C15:N15)</f>
        <v>75125178.868029997</v>
      </c>
      <c r="P15" s="166"/>
      <c r="Q15" s="166"/>
    </row>
    <row r="16" spans="1:20">
      <c r="A16" s="392">
        <f t="shared" si="1"/>
        <v>8</v>
      </c>
      <c r="B16" s="315"/>
      <c r="C16" s="285"/>
      <c r="D16" s="285"/>
      <c r="E16" s="285"/>
      <c r="F16" s="285"/>
      <c r="G16" s="285"/>
      <c r="H16" s="285"/>
      <c r="I16" s="285"/>
      <c r="J16" s="285"/>
      <c r="K16" s="285"/>
      <c r="L16" s="285"/>
      <c r="M16" s="285"/>
      <c r="N16" s="285"/>
      <c r="O16" s="285"/>
      <c r="P16" s="166"/>
      <c r="Q16" s="166"/>
    </row>
    <row r="17" spans="1:17">
      <c r="A17" s="392">
        <f t="shared" si="1"/>
        <v>9</v>
      </c>
      <c r="B17" s="473" t="s">
        <v>473</v>
      </c>
      <c r="C17" s="474"/>
      <c r="D17" s="474"/>
      <c r="E17" s="474"/>
      <c r="F17" s="474"/>
      <c r="G17" s="474">
        <v>2184689</v>
      </c>
      <c r="H17" s="474">
        <v>477621</v>
      </c>
      <c r="I17" s="474">
        <v>207178</v>
      </c>
      <c r="J17" s="474"/>
      <c r="K17" s="474"/>
      <c r="L17" s="474"/>
      <c r="M17" s="474"/>
      <c r="N17" s="474"/>
      <c r="O17" s="285"/>
      <c r="P17" s="166"/>
      <c r="Q17" s="166"/>
    </row>
    <row r="18" spans="1:17">
      <c r="A18" s="392">
        <f t="shared" si="1"/>
        <v>10</v>
      </c>
      <c r="B18" s="281" t="s">
        <v>471</v>
      </c>
      <c r="C18" s="284"/>
      <c r="D18" s="284"/>
      <c r="E18" s="284"/>
      <c r="F18" s="284"/>
      <c r="G18" s="284">
        <v>0.27781</v>
      </c>
      <c r="H18" s="284">
        <v>0.27781</v>
      </c>
      <c r="I18" s="284">
        <v>0.27781</v>
      </c>
      <c r="J18" s="284"/>
      <c r="K18" s="284"/>
      <c r="L18" s="284"/>
      <c r="M18" s="284"/>
      <c r="N18" s="284"/>
      <c r="O18" s="285"/>
      <c r="P18" s="166"/>
      <c r="Q18" s="166"/>
    </row>
    <row r="19" spans="1:17">
      <c r="A19" s="392">
        <f t="shared" si="1"/>
        <v>11</v>
      </c>
      <c r="B19" s="315" t="s">
        <v>472</v>
      </c>
      <c r="C19" s="315"/>
      <c r="D19" s="315"/>
      <c r="E19" s="315"/>
      <c r="F19" s="315"/>
      <c r="G19" s="285">
        <f t="shared" ref="G19:N19" si="4">G17*G18</f>
        <v>606928.45108999999</v>
      </c>
      <c r="H19" s="285">
        <f t="shared" si="4"/>
        <v>132687.89001</v>
      </c>
      <c r="I19" s="285">
        <f t="shared" si="4"/>
        <v>57556.120179999998</v>
      </c>
      <c r="J19" s="285">
        <f t="shared" si="4"/>
        <v>0</v>
      </c>
      <c r="K19" s="285">
        <f t="shared" si="4"/>
        <v>0</v>
      </c>
      <c r="L19" s="285">
        <f t="shared" si="4"/>
        <v>0</v>
      </c>
      <c r="M19" s="285">
        <f t="shared" si="4"/>
        <v>0</v>
      </c>
      <c r="N19" s="285">
        <f t="shared" si="4"/>
        <v>0</v>
      </c>
      <c r="O19" s="285">
        <f>SUM(C19:N19)</f>
        <v>797172.46127999993</v>
      </c>
    </row>
    <row r="20" spans="1:17">
      <c r="A20" s="392">
        <f t="shared" si="1"/>
        <v>12</v>
      </c>
      <c r="B20" s="315"/>
      <c r="C20" s="315"/>
      <c r="D20" s="315"/>
      <c r="E20" s="315"/>
      <c r="F20" s="315"/>
      <c r="G20" s="315"/>
      <c r="H20" s="315"/>
      <c r="I20" s="315"/>
      <c r="J20" s="315"/>
      <c r="K20" s="315"/>
      <c r="L20" s="315"/>
      <c r="M20" s="315"/>
      <c r="N20" s="315"/>
      <c r="O20" s="285"/>
    </row>
    <row r="21" spans="1:17">
      <c r="A21" s="392">
        <f t="shared" si="1"/>
        <v>13</v>
      </c>
      <c r="B21" s="315" t="s">
        <v>474</v>
      </c>
      <c r="C21" s="285">
        <f>C15+C19</f>
        <v>9799378.8183200005</v>
      </c>
      <c r="D21" s="285">
        <f t="shared" ref="D21:N21" si="5">D15+D19</f>
        <v>7625453.3388799997</v>
      </c>
      <c r="E21" s="285">
        <f t="shared" si="5"/>
        <v>7779056.43255</v>
      </c>
      <c r="F21" s="285">
        <f t="shared" si="5"/>
        <v>6773093.0876700003</v>
      </c>
      <c r="G21" s="285">
        <f t="shared" si="5"/>
        <v>4734290.6884399997</v>
      </c>
      <c r="H21" s="285">
        <f t="shared" si="5"/>
        <v>3467331.1911599999</v>
      </c>
      <c r="I21" s="285">
        <f t="shared" si="5"/>
        <v>3101406.7534599998</v>
      </c>
      <c r="J21" s="285">
        <f t="shared" si="5"/>
        <v>3284256.9268799997</v>
      </c>
      <c r="K21" s="285">
        <f t="shared" si="5"/>
        <v>3643426.0379699995</v>
      </c>
      <c r="L21" s="285">
        <f t="shared" si="5"/>
        <v>4891950.4691699995</v>
      </c>
      <c r="M21" s="285">
        <f t="shared" si="5"/>
        <v>8568911.0552399997</v>
      </c>
      <c r="N21" s="285">
        <f t="shared" si="5"/>
        <v>12253796.529569998</v>
      </c>
      <c r="O21" s="285">
        <f>SUM(C21:N21)</f>
        <v>75922351.32931</v>
      </c>
    </row>
    <row r="22" spans="1:17">
      <c r="A22" s="392">
        <f t="shared" si="1"/>
        <v>14</v>
      </c>
      <c r="B22" s="315"/>
      <c r="C22" s="315"/>
      <c r="D22" s="315"/>
      <c r="E22" s="315"/>
      <c r="F22" s="315"/>
      <c r="G22" s="315"/>
      <c r="H22" s="315"/>
      <c r="I22" s="315"/>
      <c r="J22" s="315"/>
      <c r="K22" s="315"/>
      <c r="L22" s="315"/>
      <c r="M22" s="315"/>
      <c r="N22" s="315"/>
      <c r="O22" s="285"/>
    </row>
    <row r="23" spans="1:17">
      <c r="A23" s="392">
        <f t="shared" si="1"/>
        <v>15</v>
      </c>
      <c r="B23" s="315" t="s">
        <v>253</v>
      </c>
      <c r="C23" s="285">
        <f>C11-C21</f>
        <v>1559218.1257428098</v>
      </c>
      <c r="D23" s="285">
        <f t="shared" ref="D23:N23" si="6">D11-D21</f>
        <v>2951716.2803033991</v>
      </c>
      <c r="E23" s="285">
        <f t="shared" si="6"/>
        <v>1730880.4725952633</v>
      </c>
      <c r="F23" s="285">
        <f t="shared" si="6"/>
        <v>516898.9561966788</v>
      </c>
      <c r="G23" s="285">
        <f t="shared" si="6"/>
        <v>722029.8288761992</v>
      </c>
      <c r="H23" s="285">
        <f t="shared" si="6"/>
        <v>761325.09433327615</v>
      </c>
      <c r="I23" s="285">
        <f t="shared" si="6"/>
        <v>677046.84464943921</v>
      </c>
      <c r="J23" s="285">
        <f t="shared" si="6"/>
        <v>271352.96895637643</v>
      </c>
      <c r="K23" s="285">
        <f t="shared" si="6"/>
        <v>292212.46030442975</v>
      </c>
      <c r="L23" s="285">
        <f t="shared" si="6"/>
        <v>1301809.3777074395</v>
      </c>
      <c r="M23" s="285">
        <f t="shared" si="6"/>
        <v>750852.62285353988</v>
      </c>
      <c r="N23" s="285">
        <f t="shared" si="6"/>
        <v>-698905.81539958902</v>
      </c>
      <c r="O23" s="285">
        <f t="shared" ref="O23" si="7">SUM(C23:N23)</f>
        <v>10836437.21711926</v>
      </c>
      <c r="P23" s="166"/>
      <c r="Q23" s="166"/>
    </row>
    <row r="24" spans="1:17">
      <c r="A24" s="392">
        <f t="shared" si="1"/>
        <v>16</v>
      </c>
      <c r="B24" s="315"/>
      <c r="C24" s="285"/>
      <c r="D24" s="285"/>
      <c r="E24" s="285"/>
      <c r="F24" s="285"/>
      <c r="G24" s="285"/>
      <c r="H24" s="285"/>
      <c r="I24" s="285"/>
      <c r="J24" s="285"/>
      <c r="K24" s="285"/>
      <c r="L24" s="285"/>
      <c r="M24" s="285"/>
      <c r="N24" s="285"/>
      <c r="O24" s="285"/>
      <c r="P24" s="166"/>
      <c r="Q24" s="166"/>
    </row>
    <row r="25" spans="1:17">
      <c r="A25" s="392">
        <f t="shared" si="1"/>
        <v>17</v>
      </c>
      <c r="B25" s="287" t="s">
        <v>233</v>
      </c>
      <c r="C25" s="288">
        <v>0.95589999999999997</v>
      </c>
      <c r="D25" s="288">
        <v>0.95589999999999997</v>
      </c>
      <c r="E25" s="288">
        <v>0.95589999999999997</v>
      </c>
      <c r="F25" s="288">
        <v>0.95589999999999997</v>
      </c>
      <c r="G25" s="288">
        <v>0.95589999999999997</v>
      </c>
      <c r="H25" s="288">
        <v>0.95589999999999997</v>
      </c>
      <c r="I25" s="288">
        <v>0.95589999999999997</v>
      </c>
      <c r="J25" s="288">
        <v>0.95589999999999997</v>
      </c>
      <c r="K25" s="288">
        <v>0.95589999999999997</v>
      </c>
      <c r="L25" s="288">
        <v>0.95589999999999997</v>
      </c>
      <c r="M25" s="288">
        <v>0.95589999999999997</v>
      </c>
      <c r="N25" s="288">
        <v>0.95589999999999997</v>
      </c>
      <c r="P25" s="166"/>
      <c r="Q25" s="166"/>
    </row>
    <row r="26" spans="1:17">
      <c r="A26" s="392">
        <f t="shared" si="1"/>
        <v>18</v>
      </c>
      <c r="B26" s="315"/>
      <c r="P26" s="166"/>
      <c r="Q26" s="166"/>
    </row>
    <row r="27" spans="1:17">
      <c r="A27" s="392">
        <f t="shared" si="1"/>
        <v>19</v>
      </c>
      <c r="B27" s="314" t="s">
        <v>475</v>
      </c>
      <c r="C27" s="232">
        <f t="shared" ref="C27:H27" si="8">C25*C23</f>
        <v>1490456.606397552</v>
      </c>
      <c r="D27" s="232">
        <f t="shared" si="8"/>
        <v>2821545.5923420191</v>
      </c>
      <c r="E27" s="232">
        <f t="shared" si="8"/>
        <v>1654548.6437538122</v>
      </c>
      <c r="F27" s="232">
        <f t="shared" si="8"/>
        <v>494103.71222840523</v>
      </c>
      <c r="G27" s="232">
        <f t="shared" si="8"/>
        <v>690188.31342275883</v>
      </c>
      <c r="H27" s="232">
        <f t="shared" si="8"/>
        <v>727750.65767317871</v>
      </c>
      <c r="I27" s="232">
        <f t="shared" ref="I27:N27" si="9">I25*I23</f>
        <v>647189.07880039897</v>
      </c>
      <c r="J27" s="232">
        <f t="shared" si="9"/>
        <v>259386.30302540021</v>
      </c>
      <c r="K27" s="232">
        <f t="shared" si="9"/>
        <v>279325.8908050044</v>
      </c>
      <c r="L27" s="232">
        <f t="shared" si="9"/>
        <v>1244399.5841505413</v>
      </c>
      <c r="M27" s="232">
        <f t="shared" si="9"/>
        <v>717740.02218569873</v>
      </c>
      <c r="N27" s="232">
        <f t="shared" si="9"/>
        <v>-668084.06894046708</v>
      </c>
      <c r="O27" s="270">
        <f>SUM(C27:N27)</f>
        <v>10358550.335844303</v>
      </c>
      <c r="P27" s="166"/>
      <c r="Q27" s="166"/>
    </row>
    <row r="28" spans="1:17">
      <c r="A28" s="392">
        <f t="shared" si="1"/>
        <v>20</v>
      </c>
      <c r="B28" s="315"/>
      <c r="C28" s="315"/>
      <c r="D28" s="315"/>
      <c r="E28" s="315"/>
      <c r="F28" s="315"/>
      <c r="G28" s="315"/>
      <c r="H28" s="315"/>
      <c r="I28" s="315"/>
      <c r="J28" s="315"/>
      <c r="K28" s="315"/>
      <c r="L28" s="315"/>
      <c r="M28" s="315"/>
      <c r="N28" s="315"/>
      <c r="O28" s="285"/>
    </row>
    <row r="29" spans="1:17">
      <c r="A29" s="392">
        <f t="shared" si="1"/>
        <v>21</v>
      </c>
      <c r="B29" s="315" t="s">
        <v>476</v>
      </c>
      <c r="C29" s="285">
        <v>17561.040537164594</v>
      </c>
      <c r="D29" s="285">
        <v>23338.622109089203</v>
      </c>
      <c r="E29" s="285">
        <v>31744.83246282511</v>
      </c>
      <c r="F29" s="285">
        <v>32769.891459642124</v>
      </c>
      <c r="G29" s="285">
        <v>33602.012515283132</v>
      </c>
      <c r="H29" s="285">
        <v>34492.703512098604</v>
      </c>
      <c r="I29" s="285">
        <v>35866.65170200693</v>
      </c>
      <c r="J29" s="285">
        <v>36613.280457296132</v>
      </c>
      <c r="K29" s="285">
        <v>36818.066441556526</v>
      </c>
      <c r="L29" s="285">
        <v>38234.013831613272</v>
      </c>
      <c r="M29" s="285">
        <v>39856.738574141382</v>
      </c>
      <c r="N29" s="285">
        <v>38325.15874171102</v>
      </c>
      <c r="O29" s="285">
        <f>SUM(C29:N29)</f>
        <v>399223.01234442811</v>
      </c>
      <c r="P29" s="247"/>
      <c r="Q29" s="247"/>
    </row>
    <row r="30" spans="1:17">
      <c r="A30" s="392">
        <f t="shared" si="1"/>
        <v>22</v>
      </c>
      <c r="B30" s="315"/>
      <c r="C30" s="315"/>
      <c r="D30" s="315"/>
      <c r="E30" s="315"/>
      <c r="F30" s="315"/>
      <c r="G30" s="315"/>
      <c r="H30" s="315"/>
      <c r="I30" s="315"/>
      <c r="J30" s="315"/>
      <c r="K30" s="315"/>
      <c r="L30" s="315"/>
      <c r="M30" s="315"/>
      <c r="N30" s="315"/>
      <c r="O30" s="285"/>
    </row>
    <row r="31" spans="1:17">
      <c r="A31" s="392">
        <f t="shared" si="1"/>
        <v>23</v>
      </c>
      <c r="B31" s="315" t="s">
        <v>477</v>
      </c>
      <c r="C31" s="285">
        <f>5951972.44+'Non-Res Deferral Calc 2015'!C27+'Non-Res Deferral Calc 2015'!C29</f>
        <v>7459990.0869347164</v>
      </c>
      <c r="D31" s="285">
        <f t="shared" ref="D31:H31" si="10">C31+D27+D29</f>
        <v>10304874.301385824</v>
      </c>
      <c r="E31" s="285">
        <f t="shared" si="10"/>
        <v>11991167.77760246</v>
      </c>
      <c r="F31" s="285">
        <f t="shared" si="10"/>
        <v>12518041.381290507</v>
      </c>
      <c r="G31" s="285">
        <f t="shared" si="10"/>
        <v>13241831.707228547</v>
      </c>
      <c r="H31" s="285">
        <f t="shared" si="10"/>
        <v>14004075.068413824</v>
      </c>
      <c r="I31" s="285">
        <f>H31+I27+I29</f>
        <v>14687130.79891623</v>
      </c>
      <c r="J31" s="285">
        <f t="shared" ref="J31:N31" si="11">I31+J27+J29</f>
        <v>14983130.382398926</v>
      </c>
      <c r="K31" s="285">
        <f t="shared" si="11"/>
        <v>15299274.339645486</v>
      </c>
      <c r="L31" s="285">
        <f t="shared" si="11"/>
        <v>16581907.937627641</v>
      </c>
      <c r="M31" s="285">
        <f t="shared" si="11"/>
        <v>17339504.698387481</v>
      </c>
      <c r="N31" s="285">
        <f t="shared" si="11"/>
        <v>16709745.788188726</v>
      </c>
      <c r="O31" s="285"/>
    </row>
    <row r="32" spans="1:17">
      <c r="A32" s="392">
        <f t="shared" si="1"/>
        <v>24</v>
      </c>
      <c r="B32" s="315"/>
      <c r="C32" s="315"/>
      <c r="D32" s="315"/>
      <c r="E32" s="315"/>
      <c r="F32" s="315"/>
      <c r="G32" s="315"/>
      <c r="H32" s="315"/>
      <c r="I32" s="315"/>
      <c r="J32" s="315"/>
      <c r="K32" s="315"/>
      <c r="L32" s="315"/>
      <c r="M32" s="315"/>
      <c r="N32" s="315"/>
      <c r="O32" s="285"/>
    </row>
    <row r="33" spans="1:15">
      <c r="A33" s="392">
        <f t="shared" si="1"/>
        <v>25</v>
      </c>
      <c r="B33" s="315" t="s">
        <v>231</v>
      </c>
      <c r="C33" s="631" t="s">
        <v>490</v>
      </c>
      <c r="D33" s="631"/>
      <c r="E33" s="631"/>
      <c r="F33" s="631"/>
      <c r="G33" s="631"/>
      <c r="H33" s="631"/>
      <c r="I33" s="631"/>
      <c r="J33" s="631"/>
      <c r="K33" s="631"/>
      <c r="L33" s="631"/>
      <c r="M33" s="631"/>
      <c r="N33" s="631"/>
      <c r="O33" s="285"/>
    </row>
    <row r="34" spans="1:15">
      <c r="A34" s="392">
        <f t="shared" si="1"/>
        <v>26</v>
      </c>
      <c r="B34" s="315"/>
      <c r="C34" s="285"/>
      <c r="D34" s="285"/>
      <c r="E34" s="285"/>
      <c r="F34" s="285"/>
      <c r="G34" s="285"/>
      <c r="H34" s="285"/>
      <c r="I34" s="285"/>
      <c r="J34" s="285"/>
      <c r="K34" s="285"/>
      <c r="L34" s="285"/>
      <c r="M34" s="285"/>
      <c r="N34" s="285"/>
      <c r="O34" s="285"/>
    </row>
    <row r="35" spans="1:15">
      <c r="A35" s="392">
        <f t="shared" si="1"/>
        <v>27</v>
      </c>
      <c r="B35" s="315" t="s">
        <v>232</v>
      </c>
      <c r="C35" s="285">
        <v>27468.931831557042</v>
      </c>
      <c r="D35" s="285">
        <v>21280.220279371551</v>
      </c>
      <c r="E35" s="285">
        <v>20826.215088447952</v>
      </c>
      <c r="F35" s="285">
        <v>17851.435715077503</v>
      </c>
      <c r="G35" s="285">
        <v>237713.77152962703</v>
      </c>
      <c r="H35" s="285">
        <v>199597.02766553211</v>
      </c>
      <c r="I35" s="285">
        <v>184311.78837558324</v>
      </c>
      <c r="J35" s="285">
        <v>193744.96254982956</v>
      </c>
      <c r="K35" s="285">
        <v>218457.83199283929</v>
      </c>
      <c r="L35" s="285">
        <v>290142.47275698994</v>
      </c>
      <c r="M35" s="285">
        <v>522400.33580108878</v>
      </c>
      <c r="N35" s="285">
        <v>733581.64925780252</v>
      </c>
      <c r="O35" s="285">
        <f t="shared" ref="O35" si="12">SUM(C35:N35)</f>
        <v>2667376.6428437466</v>
      </c>
    </row>
    <row r="36" spans="1:15">
      <c r="A36" s="392">
        <f t="shared" si="1"/>
        <v>28</v>
      </c>
      <c r="B36" s="315"/>
      <c r="C36" s="285"/>
      <c r="D36" s="285"/>
      <c r="E36" s="285"/>
      <c r="F36" s="285"/>
      <c r="G36" s="285"/>
      <c r="H36" s="285"/>
      <c r="I36" s="285"/>
      <c r="J36" s="285"/>
      <c r="K36" s="285"/>
      <c r="L36" s="285"/>
      <c r="M36" s="285"/>
      <c r="N36" s="285"/>
      <c r="O36" s="285"/>
    </row>
    <row r="37" spans="1:15">
      <c r="A37" s="392">
        <f t="shared" si="1"/>
        <v>29</v>
      </c>
      <c r="B37" s="287" t="s">
        <v>233</v>
      </c>
      <c r="C37" s="288">
        <v>0.95589999999999997</v>
      </c>
      <c r="D37" s="288">
        <v>0.95589999999999997</v>
      </c>
      <c r="E37" s="288">
        <v>0.95589999999999997</v>
      </c>
      <c r="F37" s="288">
        <v>0.95589999999999997</v>
      </c>
      <c r="G37" s="288">
        <v>0.95589999999999997</v>
      </c>
      <c r="H37" s="288">
        <v>0.95589999999999997</v>
      </c>
      <c r="I37" s="288">
        <v>0.95589999999999997</v>
      </c>
      <c r="J37" s="288">
        <v>0.95589999999999997</v>
      </c>
      <c r="K37" s="288">
        <v>0.95589999999999997</v>
      </c>
      <c r="L37" s="288">
        <v>0.95589999999999997</v>
      </c>
      <c r="M37" s="288">
        <v>0.95589999999999997</v>
      </c>
      <c r="N37" s="288">
        <v>0.95589999999999997</v>
      </c>
      <c r="O37" s="285"/>
    </row>
    <row r="38" spans="1:15">
      <c r="A38" s="392">
        <f t="shared" si="1"/>
        <v>30</v>
      </c>
      <c r="B38" s="315"/>
      <c r="C38" s="285"/>
      <c r="D38" s="285"/>
      <c r="E38" s="285"/>
      <c r="F38" s="285"/>
      <c r="G38" s="285"/>
      <c r="H38" s="285"/>
      <c r="I38" s="285"/>
      <c r="J38" s="285"/>
      <c r="K38" s="285"/>
      <c r="L38" s="285"/>
      <c r="M38" s="285"/>
      <c r="N38" s="285"/>
      <c r="O38" s="285"/>
    </row>
    <row r="39" spans="1:15">
      <c r="A39" s="392">
        <f t="shared" si="1"/>
        <v>31</v>
      </c>
      <c r="B39" s="315" t="s">
        <v>234</v>
      </c>
      <c r="C39" s="232">
        <f t="shared" ref="C39:F39" si="13">C37*C35</f>
        <v>26257.551937785374</v>
      </c>
      <c r="D39" s="232">
        <f t="shared" si="13"/>
        <v>20341.762565051264</v>
      </c>
      <c r="E39" s="232">
        <f t="shared" si="13"/>
        <v>19907.779003047399</v>
      </c>
      <c r="F39" s="232">
        <f t="shared" si="13"/>
        <v>17064.187400042585</v>
      </c>
      <c r="G39" s="232">
        <f t="shared" ref="G39:N39" si="14">G37*G35</f>
        <v>227230.59420517046</v>
      </c>
      <c r="H39" s="232">
        <f t="shared" si="14"/>
        <v>190794.79874548214</v>
      </c>
      <c r="I39" s="232">
        <f t="shared" si="14"/>
        <v>176183.63850822003</v>
      </c>
      <c r="J39" s="232">
        <f t="shared" si="14"/>
        <v>185200.80970138207</v>
      </c>
      <c r="K39" s="232">
        <f t="shared" si="14"/>
        <v>208823.84160195506</v>
      </c>
      <c r="L39" s="232">
        <f t="shared" si="14"/>
        <v>277347.18970840669</v>
      </c>
      <c r="M39" s="232">
        <f t="shared" si="14"/>
        <v>499362.48099226074</v>
      </c>
      <c r="N39" s="232">
        <f t="shared" si="14"/>
        <v>701230.69852553343</v>
      </c>
      <c r="O39" s="285">
        <f>SUM(C39:N39)</f>
        <v>2549745.3328943374</v>
      </c>
    </row>
    <row r="40" spans="1:15">
      <c r="A40" s="392">
        <f t="shared" si="1"/>
        <v>32</v>
      </c>
      <c r="B40" s="315"/>
      <c r="C40" s="285"/>
      <c r="D40" s="285"/>
      <c r="E40" s="285"/>
      <c r="F40" s="285"/>
      <c r="G40" s="285"/>
      <c r="H40" s="285"/>
      <c r="I40" s="285"/>
      <c r="J40" s="285"/>
      <c r="K40" s="285"/>
      <c r="L40" s="285"/>
      <c r="M40" s="285"/>
      <c r="N40" s="285"/>
      <c r="O40" s="285"/>
    </row>
    <row r="41" spans="1:15">
      <c r="A41" s="392">
        <f t="shared" si="1"/>
        <v>33</v>
      </c>
      <c r="B41" s="315" t="s">
        <v>480</v>
      </c>
      <c r="C41" s="285">
        <f>5844898.75+'Non-Res Deferral Calc 2015'!C27+'Non-Res Deferral Calc 2015'!C29-'Non-Res Deferral Calc 2015'!C39</f>
        <v>7326658.844996932</v>
      </c>
      <c r="D41" s="285">
        <f t="shared" ref="D41:H41" si="15">C41+D27+D29-D39</f>
        <v>10151201.296882989</v>
      </c>
      <c r="E41" s="285">
        <f t="shared" si="15"/>
        <v>11817586.994096577</v>
      </c>
      <c r="F41" s="285">
        <f t="shared" si="15"/>
        <v>12327396.41038458</v>
      </c>
      <c r="G41" s="285">
        <f t="shared" si="15"/>
        <v>12823956.14211745</v>
      </c>
      <c r="H41" s="285">
        <f t="shared" si="15"/>
        <v>13395404.704557246</v>
      </c>
      <c r="I41" s="285">
        <f>H41+I27+I29-I39</f>
        <v>13902276.796551432</v>
      </c>
      <c r="J41" s="285">
        <f t="shared" ref="J41:N41" si="16">I41+J27+J29-J39</f>
        <v>14013075.570332747</v>
      </c>
      <c r="K41" s="285">
        <f t="shared" si="16"/>
        <v>14120395.685977353</v>
      </c>
      <c r="L41" s="285">
        <f t="shared" si="16"/>
        <v>15125682.094251102</v>
      </c>
      <c r="M41" s="285">
        <f t="shared" si="16"/>
        <v>15383916.37401868</v>
      </c>
      <c r="N41" s="285">
        <f t="shared" si="16"/>
        <v>14052926.765294392</v>
      </c>
      <c r="O41" s="285"/>
    </row>
    <row r="42" spans="1:15">
      <c r="A42" s="392">
        <f t="shared" si="1"/>
        <v>34</v>
      </c>
      <c r="B42" s="315"/>
      <c r="C42" s="285"/>
      <c r="D42" s="285"/>
      <c r="E42" s="285"/>
      <c r="F42" s="285"/>
      <c r="G42" s="285"/>
      <c r="H42" s="285"/>
      <c r="I42" s="285"/>
      <c r="J42" s="285"/>
      <c r="K42" s="285"/>
      <c r="L42" s="285"/>
      <c r="M42" s="285"/>
      <c r="N42" s="285"/>
      <c r="O42" s="285"/>
    </row>
    <row r="43" spans="1:15">
      <c r="A43" s="392">
        <f t="shared" si="1"/>
        <v>35</v>
      </c>
      <c r="B43" s="316" t="s">
        <v>491</v>
      </c>
      <c r="C43" s="286">
        <v>2.1150000000000002E-2</v>
      </c>
      <c r="D43" s="286">
        <v>2.1150000000000002E-2</v>
      </c>
      <c r="E43" s="286">
        <v>2.1150000000000002E-2</v>
      </c>
      <c r="F43" s="286">
        <v>2.1150000000000002E-2</v>
      </c>
      <c r="G43" s="286">
        <v>2.8359999999999996E-2</v>
      </c>
      <c r="H43" s="286">
        <v>2.8359999999999996E-2</v>
      </c>
      <c r="I43" s="286">
        <v>2.8359999999999996E-2</v>
      </c>
      <c r="J43" s="286">
        <v>2.8359999999999996E-2</v>
      </c>
      <c r="K43" s="286">
        <v>2.8359999999999996E-2</v>
      </c>
      <c r="L43" s="286">
        <v>2.8359999999999996E-2</v>
      </c>
      <c r="M43" s="286">
        <v>2.8359999999999996E-2</v>
      </c>
      <c r="N43" s="286">
        <v>2.8359999999999996E-2</v>
      </c>
    </row>
    <row r="44" spans="1:15">
      <c r="A44" s="392">
        <f t="shared" si="1"/>
        <v>36</v>
      </c>
    </row>
    <row r="45" spans="1:15">
      <c r="A45" s="392">
        <f t="shared" si="1"/>
        <v>37</v>
      </c>
      <c r="B45" s="316" t="s">
        <v>492</v>
      </c>
      <c r="G45" s="269">
        <v>2.1150000000000002E-2</v>
      </c>
      <c r="H45" s="316">
        <v>2.1150000000000002E-2</v>
      </c>
      <c r="I45" s="316">
        <v>2.1150000000000002E-2</v>
      </c>
    </row>
    <row r="46" spans="1:15">
      <c r="A46" s="392">
        <f t="shared" si="1"/>
        <v>38</v>
      </c>
    </row>
    <row r="47" spans="1:15">
      <c r="A47" s="392">
        <f t="shared" si="1"/>
        <v>39</v>
      </c>
      <c r="B47" s="316" t="s">
        <v>483</v>
      </c>
      <c r="C47" s="285">
        <f>(C13*C43)+(C17*C45)</f>
        <v>746038.16280000005</v>
      </c>
      <c r="D47" s="285">
        <f t="shared" ref="D47:N47" si="17">(D13*D43)+(D17*D45)</f>
        <v>580534.67520000006</v>
      </c>
      <c r="E47" s="285">
        <f t="shared" si="17"/>
        <v>592228.65825000009</v>
      </c>
      <c r="F47" s="285">
        <f t="shared" si="17"/>
        <v>515643.49305000005</v>
      </c>
      <c r="G47" s="285">
        <f t="shared" si="17"/>
        <v>483669.24014999997</v>
      </c>
      <c r="H47" s="285">
        <f t="shared" si="17"/>
        <v>363543.71434999997</v>
      </c>
      <c r="I47" s="285">
        <f t="shared" si="17"/>
        <v>327002.45213999995</v>
      </c>
      <c r="J47" s="285">
        <f t="shared" si="17"/>
        <v>348101.53023999993</v>
      </c>
      <c r="K47" s="285">
        <f t="shared" si="17"/>
        <v>386170.20755999995</v>
      </c>
      <c r="L47" s="285">
        <f t="shared" si="17"/>
        <v>518502.50515999994</v>
      </c>
      <c r="M47" s="285">
        <f t="shared" si="17"/>
        <v>908227.07151999988</v>
      </c>
      <c r="N47" s="285">
        <f t="shared" si="17"/>
        <v>1298791.6043599998</v>
      </c>
      <c r="O47" s="270">
        <f>SUM(C47:N47)</f>
        <v>7068453.3147799987</v>
      </c>
    </row>
    <row r="48" spans="1:15">
      <c r="A48" s="392">
        <f t="shared" si="1"/>
        <v>40</v>
      </c>
    </row>
    <row r="49" spans="1:14">
      <c r="A49" s="392">
        <f t="shared" si="1"/>
        <v>41</v>
      </c>
    </row>
    <row r="50" spans="1:14">
      <c r="A50" s="392">
        <f t="shared" si="1"/>
        <v>42</v>
      </c>
      <c r="B50" s="473" t="s">
        <v>493</v>
      </c>
      <c r="C50" s="473"/>
      <c r="D50" s="473"/>
      <c r="E50" s="473"/>
      <c r="F50" s="473"/>
      <c r="G50" s="473"/>
      <c r="H50" s="473"/>
      <c r="I50" s="473"/>
      <c r="J50" s="473"/>
      <c r="K50" s="473"/>
      <c r="L50" s="473"/>
      <c r="M50" s="473"/>
      <c r="N50" s="473"/>
    </row>
    <row r="51" spans="1:14">
      <c r="A51" s="392">
        <f t="shared" si="1"/>
        <v>43</v>
      </c>
      <c r="B51" s="281" t="s">
        <v>485</v>
      </c>
      <c r="C51" s="281"/>
      <c r="D51" s="281"/>
      <c r="E51" s="281"/>
      <c r="F51" s="281"/>
      <c r="G51" s="281"/>
      <c r="H51" s="281"/>
      <c r="I51" s="281"/>
      <c r="J51" s="281"/>
      <c r="K51" s="281"/>
      <c r="L51" s="281"/>
      <c r="M51" s="281"/>
      <c r="N51" s="281"/>
    </row>
    <row r="52" spans="1:14">
      <c r="A52" s="392">
        <f t="shared" si="1"/>
        <v>44</v>
      </c>
      <c r="B52" s="281" t="s">
        <v>486</v>
      </c>
      <c r="C52" s="281"/>
      <c r="D52" s="281"/>
      <c r="E52" s="281"/>
      <c r="F52" s="281"/>
      <c r="G52" s="281"/>
      <c r="H52" s="281"/>
      <c r="I52" s="281"/>
      <c r="J52" s="281"/>
      <c r="K52" s="281"/>
      <c r="L52" s="281"/>
      <c r="M52" s="281"/>
      <c r="N52" s="281"/>
    </row>
    <row r="53" spans="1:14">
      <c r="A53" s="392">
        <f t="shared" si="1"/>
        <v>45</v>
      </c>
      <c r="B53" s="287" t="s">
        <v>487</v>
      </c>
      <c r="C53" s="287"/>
      <c r="D53" s="287"/>
      <c r="E53" s="287"/>
      <c r="F53" s="287"/>
      <c r="G53" s="287"/>
      <c r="H53" s="287"/>
      <c r="I53" s="287"/>
      <c r="J53" s="287"/>
      <c r="K53" s="287"/>
      <c r="L53" s="287"/>
      <c r="M53" s="287"/>
      <c r="N53" s="287"/>
    </row>
    <row r="54" spans="1:14">
      <c r="A54" s="392"/>
    </row>
    <row r="55" spans="1:14">
      <c r="A55" s="315"/>
      <c r="B55" s="315" t="s">
        <v>488</v>
      </c>
    </row>
    <row r="56" spans="1:14">
      <c r="A56" s="315"/>
      <c r="B56" s="316" t="s">
        <v>236</v>
      </c>
    </row>
  </sheetData>
  <mergeCells count="5">
    <mergeCell ref="A1:O1"/>
    <mergeCell ref="A2:O2"/>
    <mergeCell ref="A3:O3"/>
    <mergeCell ref="A4:O4"/>
    <mergeCell ref="C33:N33"/>
  </mergeCells>
  <printOptions horizontalCentered="1"/>
  <pageMargins left="0.7" right="0.7" top="0.75" bottom="0.75" header="0.3" footer="0.3"/>
  <pageSetup scale="51"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E61"/>
  <sheetViews>
    <sheetView zoomScale="50" workbookViewId="0">
      <selection activeCell="I68" sqref="I68"/>
    </sheetView>
  </sheetViews>
  <sheetFormatPr baseColWidth="10" defaultColWidth="8.83203125" defaultRowHeight="13"/>
  <cols>
    <col min="1" max="1" width="25.83203125" style="198" customWidth="1"/>
    <col min="2" max="2" width="18.33203125" style="198" customWidth="1"/>
    <col min="3" max="3" width="10.6640625" style="198" customWidth="1"/>
    <col min="4" max="4" width="18.33203125" style="198" bestFit="1" customWidth="1"/>
    <col min="5" max="5" width="19.5" style="198" customWidth="1"/>
    <col min="6" max="242" width="9.1640625" style="198"/>
    <col min="243" max="243" width="12.1640625" style="198" customWidth="1"/>
    <col min="244" max="244" width="14.6640625" style="198" bestFit="1" customWidth="1"/>
    <col min="245" max="245" width="12.6640625" style="198" bestFit="1" customWidth="1"/>
    <col min="246" max="246" width="13.6640625" style="198" bestFit="1" customWidth="1"/>
    <col min="247" max="247" width="12.6640625" style="198" bestFit="1" customWidth="1"/>
    <col min="248" max="248" width="12.33203125" style="198" bestFit="1" customWidth="1"/>
    <col min="249" max="249" width="12.6640625" style="198" bestFit="1" customWidth="1"/>
    <col min="250" max="251" width="12.5" style="198" bestFit="1" customWidth="1"/>
    <col min="252" max="252" width="13.6640625" style="198" bestFit="1" customWidth="1"/>
    <col min="253" max="257" width="13.6640625" style="198" customWidth="1"/>
    <col min="258" max="258" width="16" style="198" customWidth="1"/>
    <col min="259" max="260" width="14" style="198" bestFit="1" customWidth="1"/>
    <col min="261" max="261" width="4.6640625" style="198" bestFit="1" customWidth="1"/>
    <col min="262" max="498" width="9.1640625" style="198"/>
    <col min="499" max="499" width="12.1640625" style="198" customWidth="1"/>
    <col min="500" max="500" width="14.6640625" style="198" bestFit="1" customWidth="1"/>
    <col min="501" max="501" width="12.6640625" style="198" bestFit="1" customWidth="1"/>
    <col min="502" max="502" width="13.6640625" style="198" bestFit="1" customWidth="1"/>
    <col min="503" max="503" width="12.6640625" style="198" bestFit="1" customWidth="1"/>
    <col min="504" max="504" width="12.33203125" style="198" bestFit="1" customWidth="1"/>
    <col min="505" max="505" width="12.6640625" style="198" bestFit="1" customWidth="1"/>
    <col min="506" max="507" width="12.5" style="198" bestFit="1" customWidth="1"/>
    <col min="508" max="508" width="13.6640625" style="198" bestFit="1" customWidth="1"/>
    <col min="509" max="513" width="13.6640625" style="198" customWidth="1"/>
    <col min="514" max="514" width="16" style="198" customWidth="1"/>
    <col min="515" max="516" width="14" style="198" bestFit="1" customWidth="1"/>
    <col min="517" max="517" width="4.6640625" style="198" bestFit="1" customWidth="1"/>
    <col min="518" max="754" width="9.1640625" style="198"/>
    <col min="755" max="755" width="12.1640625" style="198" customWidth="1"/>
    <col min="756" max="756" width="14.6640625" style="198" bestFit="1" customWidth="1"/>
    <col min="757" max="757" width="12.6640625" style="198" bestFit="1" customWidth="1"/>
    <col min="758" max="758" width="13.6640625" style="198" bestFit="1" customWidth="1"/>
    <col min="759" max="759" width="12.6640625" style="198" bestFit="1" customWidth="1"/>
    <col min="760" max="760" width="12.33203125" style="198" bestFit="1" customWidth="1"/>
    <col min="761" max="761" width="12.6640625" style="198" bestFit="1" customWidth="1"/>
    <col min="762" max="763" width="12.5" style="198" bestFit="1" customWidth="1"/>
    <col min="764" max="764" width="13.6640625" style="198" bestFit="1" customWidth="1"/>
    <col min="765" max="769" width="13.6640625" style="198" customWidth="1"/>
    <col min="770" max="770" width="16" style="198" customWidth="1"/>
    <col min="771" max="772" width="14" style="198" bestFit="1" customWidth="1"/>
    <col min="773" max="773" width="4.6640625" style="198" bestFit="1" customWidth="1"/>
    <col min="774" max="1010" width="9.1640625" style="198"/>
    <col min="1011" max="1011" width="12.1640625" style="198" customWidth="1"/>
    <col min="1012" max="1012" width="14.6640625" style="198" bestFit="1" customWidth="1"/>
    <col min="1013" max="1013" width="12.6640625" style="198" bestFit="1" customWidth="1"/>
    <col min="1014" max="1014" width="13.6640625" style="198" bestFit="1" customWidth="1"/>
    <col min="1015" max="1015" width="12.6640625" style="198" bestFit="1" customWidth="1"/>
    <col min="1016" max="1016" width="12.33203125" style="198" bestFit="1" customWidth="1"/>
    <col min="1017" max="1017" width="12.6640625" style="198" bestFit="1" customWidth="1"/>
    <col min="1018" max="1019" width="12.5" style="198" bestFit="1" customWidth="1"/>
    <col min="1020" max="1020" width="13.6640625" style="198" bestFit="1" customWidth="1"/>
    <col min="1021" max="1025" width="13.6640625" style="198" customWidth="1"/>
    <col min="1026" max="1026" width="16" style="198" customWidth="1"/>
    <col min="1027" max="1028" width="14" style="198" bestFit="1" customWidth="1"/>
    <col min="1029" max="1029" width="4.6640625" style="198" bestFit="1" customWidth="1"/>
    <col min="1030" max="1266" width="9.1640625" style="198"/>
    <col min="1267" max="1267" width="12.1640625" style="198" customWidth="1"/>
    <col min="1268" max="1268" width="14.6640625" style="198" bestFit="1" customWidth="1"/>
    <col min="1269" max="1269" width="12.6640625" style="198" bestFit="1" customWidth="1"/>
    <col min="1270" max="1270" width="13.6640625" style="198" bestFit="1" customWidth="1"/>
    <col min="1271" max="1271" width="12.6640625" style="198" bestFit="1" customWidth="1"/>
    <col min="1272" max="1272" width="12.33203125" style="198" bestFit="1" customWidth="1"/>
    <col min="1273" max="1273" width="12.6640625" style="198" bestFit="1" customWidth="1"/>
    <col min="1274" max="1275" width="12.5" style="198" bestFit="1" customWidth="1"/>
    <col min="1276" max="1276" width="13.6640625" style="198" bestFit="1" customWidth="1"/>
    <col min="1277" max="1281" width="13.6640625" style="198" customWidth="1"/>
    <col min="1282" max="1282" width="16" style="198" customWidth="1"/>
    <col min="1283" max="1284" width="14" style="198" bestFit="1" customWidth="1"/>
    <col min="1285" max="1285" width="4.6640625" style="198" bestFit="1" customWidth="1"/>
    <col min="1286" max="1522" width="9.1640625" style="198"/>
    <col min="1523" max="1523" width="12.1640625" style="198" customWidth="1"/>
    <col min="1524" max="1524" width="14.6640625" style="198" bestFit="1" customWidth="1"/>
    <col min="1525" max="1525" width="12.6640625" style="198" bestFit="1" customWidth="1"/>
    <col min="1526" max="1526" width="13.6640625" style="198" bestFit="1" customWidth="1"/>
    <col min="1527" max="1527" width="12.6640625" style="198" bestFit="1" customWidth="1"/>
    <col min="1528" max="1528" width="12.33203125" style="198" bestFit="1" customWidth="1"/>
    <col min="1529" max="1529" width="12.6640625" style="198" bestFit="1" customWidth="1"/>
    <col min="1530" max="1531" width="12.5" style="198" bestFit="1" customWidth="1"/>
    <col min="1532" max="1532" width="13.6640625" style="198" bestFit="1" customWidth="1"/>
    <col min="1533" max="1537" width="13.6640625" style="198" customWidth="1"/>
    <col min="1538" max="1538" width="16" style="198" customWidth="1"/>
    <col min="1539" max="1540" width="14" style="198" bestFit="1" customWidth="1"/>
    <col min="1541" max="1541" width="4.6640625" style="198" bestFit="1" customWidth="1"/>
    <col min="1542" max="1778" width="9.1640625" style="198"/>
    <col min="1779" max="1779" width="12.1640625" style="198" customWidth="1"/>
    <col min="1780" max="1780" width="14.6640625" style="198" bestFit="1" customWidth="1"/>
    <col min="1781" max="1781" width="12.6640625" style="198" bestFit="1" customWidth="1"/>
    <col min="1782" max="1782" width="13.6640625" style="198" bestFit="1" customWidth="1"/>
    <col min="1783" max="1783" width="12.6640625" style="198" bestFit="1" customWidth="1"/>
    <col min="1784" max="1784" width="12.33203125" style="198" bestFit="1" customWidth="1"/>
    <col min="1785" max="1785" width="12.6640625" style="198" bestFit="1" customWidth="1"/>
    <col min="1786" max="1787" width="12.5" style="198" bestFit="1" customWidth="1"/>
    <col min="1788" max="1788" width="13.6640625" style="198" bestFit="1" customWidth="1"/>
    <col min="1789" max="1793" width="13.6640625" style="198" customWidth="1"/>
    <col min="1794" max="1794" width="16" style="198" customWidth="1"/>
    <col min="1795" max="1796" width="14" style="198" bestFit="1" customWidth="1"/>
    <col min="1797" max="1797" width="4.6640625" style="198" bestFit="1" customWidth="1"/>
    <col min="1798" max="2034" width="9.1640625" style="198"/>
    <col min="2035" max="2035" width="12.1640625" style="198" customWidth="1"/>
    <col min="2036" max="2036" width="14.6640625" style="198" bestFit="1" customWidth="1"/>
    <col min="2037" max="2037" width="12.6640625" style="198" bestFit="1" customWidth="1"/>
    <col min="2038" max="2038" width="13.6640625" style="198" bestFit="1" customWidth="1"/>
    <col min="2039" max="2039" width="12.6640625" style="198" bestFit="1" customWidth="1"/>
    <col min="2040" max="2040" width="12.33203125" style="198" bestFit="1" customWidth="1"/>
    <col min="2041" max="2041" width="12.6640625" style="198" bestFit="1" customWidth="1"/>
    <col min="2042" max="2043" width="12.5" style="198" bestFit="1" customWidth="1"/>
    <col min="2044" max="2044" width="13.6640625" style="198" bestFit="1" customWidth="1"/>
    <col min="2045" max="2049" width="13.6640625" style="198" customWidth="1"/>
    <col min="2050" max="2050" width="16" style="198" customWidth="1"/>
    <col min="2051" max="2052" width="14" style="198" bestFit="1" customWidth="1"/>
    <col min="2053" max="2053" width="4.6640625" style="198" bestFit="1" customWidth="1"/>
    <col min="2054" max="2290" width="9.1640625" style="198"/>
    <col min="2291" max="2291" width="12.1640625" style="198" customWidth="1"/>
    <col min="2292" max="2292" width="14.6640625" style="198" bestFit="1" customWidth="1"/>
    <col min="2293" max="2293" width="12.6640625" style="198" bestFit="1" customWidth="1"/>
    <col min="2294" max="2294" width="13.6640625" style="198" bestFit="1" customWidth="1"/>
    <col min="2295" max="2295" width="12.6640625" style="198" bestFit="1" customWidth="1"/>
    <col min="2296" max="2296" width="12.33203125" style="198" bestFit="1" customWidth="1"/>
    <col min="2297" max="2297" width="12.6640625" style="198" bestFit="1" customWidth="1"/>
    <col min="2298" max="2299" width="12.5" style="198" bestFit="1" customWidth="1"/>
    <col min="2300" max="2300" width="13.6640625" style="198" bestFit="1" customWidth="1"/>
    <col min="2301" max="2305" width="13.6640625" style="198" customWidth="1"/>
    <col min="2306" max="2306" width="16" style="198" customWidth="1"/>
    <col min="2307" max="2308" width="14" style="198" bestFit="1" customWidth="1"/>
    <col min="2309" max="2309" width="4.6640625" style="198" bestFit="1" customWidth="1"/>
    <col min="2310" max="2546" width="9.1640625" style="198"/>
    <col min="2547" max="2547" width="12.1640625" style="198" customWidth="1"/>
    <col min="2548" max="2548" width="14.6640625" style="198" bestFit="1" customWidth="1"/>
    <col min="2549" max="2549" width="12.6640625" style="198" bestFit="1" customWidth="1"/>
    <col min="2550" max="2550" width="13.6640625" style="198" bestFit="1" customWidth="1"/>
    <col min="2551" max="2551" width="12.6640625" style="198" bestFit="1" customWidth="1"/>
    <col min="2552" max="2552" width="12.33203125" style="198" bestFit="1" customWidth="1"/>
    <col min="2553" max="2553" width="12.6640625" style="198" bestFit="1" customWidth="1"/>
    <col min="2554" max="2555" width="12.5" style="198" bestFit="1" customWidth="1"/>
    <col min="2556" max="2556" width="13.6640625" style="198" bestFit="1" customWidth="1"/>
    <col min="2557" max="2561" width="13.6640625" style="198" customWidth="1"/>
    <col min="2562" max="2562" width="16" style="198" customWidth="1"/>
    <col min="2563" max="2564" width="14" style="198" bestFit="1" customWidth="1"/>
    <col min="2565" max="2565" width="4.6640625" style="198" bestFit="1" customWidth="1"/>
    <col min="2566" max="2802" width="9.1640625" style="198"/>
    <col min="2803" max="2803" width="12.1640625" style="198" customWidth="1"/>
    <col min="2804" max="2804" width="14.6640625" style="198" bestFit="1" customWidth="1"/>
    <col min="2805" max="2805" width="12.6640625" style="198" bestFit="1" customWidth="1"/>
    <col min="2806" max="2806" width="13.6640625" style="198" bestFit="1" customWidth="1"/>
    <col min="2807" max="2807" width="12.6640625" style="198" bestFit="1" customWidth="1"/>
    <col min="2808" max="2808" width="12.33203125" style="198" bestFit="1" customWidth="1"/>
    <col min="2809" max="2809" width="12.6640625" style="198" bestFit="1" customWidth="1"/>
    <col min="2810" max="2811" width="12.5" style="198" bestFit="1" customWidth="1"/>
    <col min="2812" max="2812" width="13.6640625" style="198" bestFit="1" customWidth="1"/>
    <col min="2813" max="2817" width="13.6640625" style="198" customWidth="1"/>
    <col min="2818" max="2818" width="16" style="198" customWidth="1"/>
    <col min="2819" max="2820" width="14" style="198" bestFit="1" customWidth="1"/>
    <col min="2821" max="2821" width="4.6640625" style="198" bestFit="1" customWidth="1"/>
    <col min="2822" max="3058" width="9.1640625" style="198"/>
    <col min="3059" max="3059" width="12.1640625" style="198" customWidth="1"/>
    <col min="3060" max="3060" width="14.6640625" style="198" bestFit="1" customWidth="1"/>
    <col min="3061" max="3061" width="12.6640625" style="198" bestFit="1" customWidth="1"/>
    <col min="3062" max="3062" width="13.6640625" style="198" bestFit="1" customWidth="1"/>
    <col min="3063" max="3063" width="12.6640625" style="198" bestFit="1" customWidth="1"/>
    <col min="3064" max="3064" width="12.33203125" style="198" bestFit="1" customWidth="1"/>
    <col min="3065" max="3065" width="12.6640625" style="198" bestFit="1" customWidth="1"/>
    <col min="3066" max="3067" width="12.5" style="198" bestFit="1" customWidth="1"/>
    <col min="3068" max="3068" width="13.6640625" style="198" bestFit="1" customWidth="1"/>
    <col min="3069" max="3073" width="13.6640625" style="198" customWidth="1"/>
    <col min="3074" max="3074" width="16" style="198" customWidth="1"/>
    <col min="3075" max="3076" width="14" style="198" bestFit="1" customWidth="1"/>
    <col min="3077" max="3077" width="4.6640625" style="198" bestFit="1" customWidth="1"/>
    <col min="3078" max="3314" width="9.1640625" style="198"/>
    <col min="3315" max="3315" width="12.1640625" style="198" customWidth="1"/>
    <col min="3316" max="3316" width="14.6640625" style="198" bestFit="1" customWidth="1"/>
    <col min="3317" max="3317" width="12.6640625" style="198" bestFit="1" customWidth="1"/>
    <col min="3318" max="3318" width="13.6640625" style="198" bestFit="1" customWidth="1"/>
    <col min="3319" max="3319" width="12.6640625" style="198" bestFit="1" customWidth="1"/>
    <col min="3320" max="3320" width="12.33203125" style="198" bestFit="1" customWidth="1"/>
    <col min="3321" max="3321" width="12.6640625" style="198" bestFit="1" customWidth="1"/>
    <col min="3322" max="3323" width="12.5" style="198" bestFit="1" customWidth="1"/>
    <col min="3324" max="3324" width="13.6640625" style="198" bestFit="1" customWidth="1"/>
    <col min="3325" max="3329" width="13.6640625" style="198" customWidth="1"/>
    <col min="3330" max="3330" width="16" style="198" customWidth="1"/>
    <col min="3331" max="3332" width="14" style="198" bestFit="1" customWidth="1"/>
    <col min="3333" max="3333" width="4.6640625" style="198" bestFit="1" customWidth="1"/>
    <col min="3334" max="3570" width="9.1640625" style="198"/>
    <col min="3571" max="3571" width="12.1640625" style="198" customWidth="1"/>
    <col min="3572" max="3572" width="14.6640625" style="198" bestFit="1" customWidth="1"/>
    <col min="3573" max="3573" width="12.6640625" style="198" bestFit="1" customWidth="1"/>
    <col min="3574" max="3574" width="13.6640625" style="198" bestFit="1" customWidth="1"/>
    <col min="3575" max="3575" width="12.6640625" style="198" bestFit="1" customWidth="1"/>
    <col min="3576" max="3576" width="12.33203125" style="198" bestFit="1" customWidth="1"/>
    <col min="3577" max="3577" width="12.6640625" style="198" bestFit="1" customWidth="1"/>
    <col min="3578" max="3579" width="12.5" style="198" bestFit="1" customWidth="1"/>
    <col min="3580" max="3580" width="13.6640625" style="198" bestFit="1" customWidth="1"/>
    <col min="3581" max="3585" width="13.6640625" style="198" customWidth="1"/>
    <col min="3586" max="3586" width="16" style="198" customWidth="1"/>
    <col min="3587" max="3588" width="14" style="198" bestFit="1" customWidth="1"/>
    <col min="3589" max="3589" width="4.6640625" style="198" bestFit="1" customWidth="1"/>
    <col min="3590" max="3826" width="9.1640625" style="198"/>
    <col min="3827" max="3827" width="12.1640625" style="198" customWidth="1"/>
    <col min="3828" max="3828" width="14.6640625" style="198" bestFit="1" customWidth="1"/>
    <col min="3829" max="3829" width="12.6640625" style="198" bestFit="1" customWidth="1"/>
    <col min="3830" max="3830" width="13.6640625" style="198" bestFit="1" customWidth="1"/>
    <col min="3831" max="3831" width="12.6640625" style="198" bestFit="1" customWidth="1"/>
    <col min="3832" max="3832" width="12.33203125" style="198" bestFit="1" customWidth="1"/>
    <col min="3833" max="3833" width="12.6640625" style="198" bestFit="1" customWidth="1"/>
    <col min="3834" max="3835" width="12.5" style="198" bestFit="1" customWidth="1"/>
    <col min="3836" max="3836" width="13.6640625" style="198" bestFit="1" customWidth="1"/>
    <col min="3837" max="3841" width="13.6640625" style="198" customWidth="1"/>
    <col min="3842" max="3842" width="16" style="198" customWidth="1"/>
    <col min="3843" max="3844" width="14" style="198" bestFit="1" customWidth="1"/>
    <col min="3845" max="3845" width="4.6640625" style="198" bestFit="1" customWidth="1"/>
    <col min="3846" max="4082" width="9.1640625" style="198"/>
    <col min="4083" max="4083" width="12.1640625" style="198" customWidth="1"/>
    <col min="4084" max="4084" width="14.6640625" style="198" bestFit="1" customWidth="1"/>
    <col min="4085" max="4085" width="12.6640625" style="198" bestFit="1" customWidth="1"/>
    <col min="4086" max="4086" width="13.6640625" style="198" bestFit="1" customWidth="1"/>
    <col min="4087" max="4087" width="12.6640625" style="198" bestFit="1" customWidth="1"/>
    <col min="4088" max="4088" width="12.33203125" style="198" bestFit="1" customWidth="1"/>
    <col min="4089" max="4089" width="12.6640625" style="198" bestFit="1" customWidth="1"/>
    <col min="4090" max="4091" width="12.5" style="198" bestFit="1" customWidth="1"/>
    <col min="4092" max="4092" width="13.6640625" style="198" bestFit="1" customWidth="1"/>
    <col min="4093" max="4097" width="13.6640625" style="198" customWidth="1"/>
    <col min="4098" max="4098" width="16" style="198" customWidth="1"/>
    <col min="4099" max="4100" width="14" style="198" bestFit="1" customWidth="1"/>
    <col min="4101" max="4101" width="4.6640625" style="198" bestFit="1" customWidth="1"/>
    <col min="4102" max="4338" width="9.1640625" style="198"/>
    <col min="4339" max="4339" width="12.1640625" style="198" customWidth="1"/>
    <col min="4340" max="4340" width="14.6640625" style="198" bestFit="1" customWidth="1"/>
    <col min="4341" max="4341" width="12.6640625" style="198" bestFit="1" customWidth="1"/>
    <col min="4342" max="4342" width="13.6640625" style="198" bestFit="1" customWidth="1"/>
    <col min="4343" max="4343" width="12.6640625" style="198" bestFit="1" customWidth="1"/>
    <col min="4344" max="4344" width="12.33203125" style="198" bestFit="1" customWidth="1"/>
    <col min="4345" max="4345" width="12.6640625" style="198" bestFit="1" customWidth="1"/>
    <col min="4346" max="4347" width="12.5" style="198" bestFit="1" customWidth="1"/>
    <col min="4348" max="4348" width="13.6640625" style="198" bestFit="1" customWidth="1"/>
    <col min="4349" max="4353" width="13.6640625" style="198" customWidth="1"/>
    <col min="4354" max="4354" width="16" style="198" customWidth="1"/>
    <col min="4355" max="4356" width="14" style="198" bestFit="1" customWidth="1"/>
    <col min="4357" max="4357" width="4.6640625" style="198" bestFit="1" customWidth="1"/>
    <col min="4358" max="4594" width="9.1640625" style="198"/>
    <col min="4595" max="4595" width="12.1640625" style="198" customWidth="1"/>
    <col min="4596" max="4596" width="14.6640625" style="198" bestFit="1" customWidth="1"/>
    <col min="4597" max="4597" width="12.6640625" style="198" bestFit="1" customWidth="1"/>
    <col min="4598" max="4598" width="13.6640625" style="198" bestFit="1" customWidth="1"/>
    <col min="4599" max="4599" width="12.6640625" style="198" bestFit="1" customWidth="1"/>
    <col min="4600" max="4600" width="12.33203125" style="198" bestFit="1" customWidth="1"/>
    <col min="4601" max="4601" width="12.6640625" style="198" bestFit="1" customWidth="1"/>
    <col min="4602" max="4603" width="12.5" style="198" bestFit="1" customWidth="1"/>
    <col min="4604" max="4604" width="13.6640625" style="198" bestFit="1" customWidth="1"/>
    <col min="4605" max="4609" width="13.6640625" style="198" customWidth="1"/>
    <col min="4610" max="4610" width="16" style="198" customWidth="1"/>
    <col min="4611" max="4612" width="14" style="198" bestFit="1" customWidth="1"/>
    <col min="4613" max="4613" width="4.6640625" style="198" bestFit="1" customWidth="1"/>
    <col min="4614" max="4850" width="9.1640625" style="198"/>
    <col min="4851" max="4851" width="12.1640625" style="198" customWidth="1"/>
    <col min="4852" max="4852" width="14.6640625" style="198" bestFit="1" customWidth="1"/>
    <col min="4853" max="4853" width="12.6640625" style="198" bestFit="1" customWidth="1"/>
    <col min="4854" max="4854" width="13.6640625" style="198" bestFit="1" customWidth="1"/>
    <col min="4855" max="4855" width="12.6640625" style="198" bestFit="1" customWidth="1"/>
    <col min="4856" max="4856" width="12.33203125" style="198" bestFit="1" customWidth="1"/>
    <col min="4857" max="4857" width="12.6640625" style="198" bestFit="1" customWidth="1"/>
    <col min="4858" max="4859" width="12.5" style="198" bestFit="1" customWidth="1"/>
    <col min="4860" max="4860" width="13.6640625" style="198" bestFit="1" customWidth="1"/>
    <col min="4861" max="4865" width="13.6640625" style="198" customWidth="1"/>
    <col min="4866" max="4866" width="16" style="198" customWidth="1"/>
    <col min="4867" max="4868" width="14" style="198" bestFit="1" customWidth="1"/>
    <col min="4869" max="4869" width="4.6640625" style="198" bestFit="1" customWidth="1"/>
    <col min="4870" max="5106" width="9.1640625" style="198"/>
    <col min="5107" max="5107" width="12.1640625" style="198" customWidth="1"/>
    <col min="5108" max="5108" width="14.6640625" style="198" bestFit="1" customWidth="1"/>
    <col min="5109" max="5109" width="12.6640625" style="198" bestFit="1" customWidth="1"/>
    <col min="5110" max="5110" width="13.6640625" style="198" bestFit="1" customWidth="1"/>
    <col min="5111" max="5111" width="12.6640625" style="198" bestFit="1" customWidth="1"/>
    <col min="5112" max="5112" width="12.33203125" style="198" bestFit="1" customWidth="1"/>
    <col min="5113" max="5113" width="12.6640625" style="198" bestFit="1" customWidth="1"/>
    <col min="5114" max="5115" width="12.5" style="198" bestFit="1" customWidth="1"/>
    <col min="5116" max="5116" width="13.6640625" style="198" bestFit="1" customWidth="1"/>
    <col min="5117" max="5121" width="13.6640625" style="198" customWidth="1"/>
    <col min="5122" max="5122" width="16" style="198" customWidth="1"/>
    <col min="5123" max="5124" width="14" style="198" bestFit="1" customWidth="1"/>
    <col min="5125" max="5125" width="4.6640625" style="198" bestFit="1" customWidth="1"/>
    <col min="5126" max="5362" width="9.1640625" style="198"/>
    <col min="5363" max="5363" width="12.1640625" style="198" customWidth="1"/>
    <col min="5364" max="5364" width="14.6640625" style="198" bestFit="1" customWidth="1"/>
    <col min="5365" max="5365" width="12.6640625" style="198" bestFit="1" customWidth="1"/>
    <col min="5366" max="5366" width="13.6640625" style="198" bestFit="1" customWidth="1"/>
    <col min="5367" max="5367" width="12.6640625" style="198" bestFit="1" customWidth="1"/>
    <col min="5368" max="5368" width="12.33203125" style="198" bestFit="1" customWidth="1"/>
    <col min="5369" max="5369" width="12.6640625" style="198" bestFit="1" customWidth="1"/>
    <col min="5370" max="5371" width="12.5" style="198" bestFit="1" customWidth="1"/>
    <col min="5372" max="5372" width="13.6640625" style="198" bestFit="1" customWidth="1"/>
    <col min="5373" max="5377" width="13.6640625" style="198" customWidth="1"/>
    <col min="5378" max="5378" width="16" style="198" customWidth="1"/>
    <col min="5379" max="5380" width="14" style="198" bestFit="1" customWidth="1"/>
    <col min="5381" max="5381" width="4.6640625" style="198" bestFit="1" customWidth="1"/>
    <col min="5382" max="5618" width="9.1640625" style="198"/>
    <col min="5619" max="5619" width="12.1640625" style="198" customWidth="1"/>
    <col min="5620" max="5620" width="14.6640625" style="198" bestFit="1" customWidth="1"/>
    <col min="5621" max="5621" width="12.6640625" style="198" bestFit="1" customWidth="1"/>
    <col min="5622" max="5622" width="13.6640625" style="198" bestFit="1" customWidth="1"/>
    <col min="5623" max="5623" width="12.6640625" style="198" bestFit="1" customWidth="1"/>
    <col min="5624" max="5624" width="12.33203125" style="198" bestFit="1" customWidth="1"/>
    <col min="5625" max="5625" width="12.6640625" style="198" bestFit="1" customWidth="1"/>
    <col min="5626" max="5627" width="12.5" style="198" bestFit="1" customWidth="1"/>
    <col min="5628" max="5628" width="13.6640625" style="198" bestFit="1" customWidth="1"/>
    <col min="5629" max="5633" width="13.6640625" style="198" customWidth="1"/>
    <col min="5634" max="5634" width="16" style="198" customWidth="1"/>
    <col min="5635" max="5636" width="14" style="198" bestFit="1" customWidth="1"/>
    <col min="5637" max="5637" width="4.6640625" style="198" bestFit="1" customWidth="1"/>
    <col min="5638" max="5874" width="9.1640625" style="198"/>
    <col min="5875" max="5875" width="12.1640625" style="198" customWidth="1"/>
    <col min="5876" max="5876" width="14.6640625" style="198" bestFit="1" customWidth="1"/>
    <col min="5877" max="5877" width="12.6640625" style="198" bestFit="1" customWidth="1"/>
    <col min="5878" max="5878" width="13.6640625" style="198" bestFit="1" customWidth="1"/>
    <col min="5879" max="5879" width="12.6640625" style="198" bestFit="1" customWidth="1"/>
    <col min="5880" max="5880" width="12.33203125" style="198" bestFit="1" customWidth="1"/>
    <col min="5881" max="5881" width="12.6640625" style="198" bestFit="1" customWidth="1"/>
    <col min="5882" max="5883" width="12.5" style="198" bestFit="1" customWidth="1"/>
    <col min="5884" max="5884" width="13.6640625" style="198" bestFit="1" customWidth="1"/>
    <col min="5885" max="5889" width="13.6640625" style="198" customWidth="1"/>
    <col min="5890" max="5890" width="16" style="198" customWidth="1"/>
    <col min="5891" max="5892" width="14" style="198" bestFit="1" customWidth="1"/>
    <col min="5893" max="5893" width="4.6640625" style="198" bestFit="1" customWidth="1"/>
    <col min="5894" max="6130" width="9.1640625" style="198"/>
    <col min="6131" max="6131" width="12.1640625" style="198" customWidth="1"/>
    <col min="6132" max="6132" width="14.6640625" style="198" bestFit="1" customWidth="1"/>
    <col min="6133" max="6133" width="12.6640625" style="198" bestFit="1" customWidth="1"/>
    <col min="6134" max="6134" width="13.6640625" style="198" bestFit="1" customWidth="1"/>
    <col min="6135" max="6135" width="12.6640625" style="198" bestFit="1" customWidth="1"/>
    <col min="6136" max="6136" width="12.33203125" style="198" bestFit="1" customWidth="1"/>
    <col min="6137" max="6137" width="12.6640625" style="198" bestFit="1" customWidth="1"/>
    <col min="6138" max="6139" width="12.5" style="198" bestFit="1" customWidth="1"/>
    <col min="6140" max="6140" width="13.6640625" style="198" bestFit="1" customWidth="1"/>
    <col min="6141" max="6145" width="13.6640625" style="198" customWidth="1"/>
    <col min="6146" max="6146" width="16" style="198" customWidth="1"/>
    <col min="6147" max="6148" width="14" style="198" bestFit="1" customWidth="1"/>
    <col min="6149" max="6149" width="4.6640625" style="198" bestFit="1" customWidth="1"/>
    <col min="6150" max="6386" width="9.1640625" style="198"/>
    <col min="6387" max="6387" width="12.1640625" style="198" customWidth="1"/>
    <col min="6388" max="6388" width="14.6640625" style="198" bestFit="1" customWidth="1"/>
    <col min="6389" max="6389" width="12.6640625" style="198" bestFit="1" customWidth="1"/>
    <col min="6390" max="6390" width="13.6640625" style="198" bestFit="1" customWidth="1"/>
    <col min="6391" max="6391" width="12.6640625" style="198" bestFit="1" customWidth="1"/>
    <col min="6392" max="6392" width="12.33203125" style="198" bestFit="1" customWidth="1"/>
    <col min="6393" max="6393" width="12.6640625" style="198" bestFit="1" customWidth="1"/>
    <col min="6394" max="6395" width="12.5" style="198" bestFit="1" customWidth="1"/>
    <col min="6396" max="6396" width="13.6640625" style="198" bestFit="1" customWidth="1"/>
    <col min="6397" max="6401" width="13.6640625" style="198" customWidth="1"/>
    <col min="6402" max="6402" width="16" style="198" customWidth="1"/>
    <col min="6403" max="6404" width="14" style="198" bestFit="1" customWidth="1"/>
    <col min="6405" max="6405" width="4.6640625" style="198" bestFit="1" customWidth="1"/>
    <col min="6406" max="6642" width="9.1640625" style="198"/>
    <col min="6643" max="6643" width="12.1640625" style="198" customWidth="1"/>
    <col min="6644" max="6644" width="14.6640625" style="198" bestFit="1" customWidth="1"/>
    <col min="6645" max="6645" width="12.6640625" style="198" bestFit="1" customWidth="1"/>
    <col min="6646" max="6646" width="13.6640625" style="198" bestFit="1" customWidth="1"/>
    <col min="6647" max="6647" width="12.6640625" style="198" bestFit="1" customWidth="1"/>
    <col min="6648" max="6648" width="12.33203125" style="198" bestFit="1" customWidth="1"/>
    <col min="6649" max="6649" width="12.6640625" style="198" bestFit="1" customWidth="1"/>
    <col min="6650" max="6651" width="12.5" style="198" bestFit="1" customWidth="1"/>
    <col min="6652" max="6652" width="13.6640625" style="198" bestFit="1" customWidth="1"/>
    <col min="6653" max="6657" width="13.6640625" style="198" customWidth="1"/>
    <col min="6658" max="6658" width="16" style="198" customWidth="1"/>
    <col min="6659" max="6660" width="14" style="198" bestFit="1" customWidth="1"/>
    <col min="6661" max="6661" width="4.6640625" style="198" bestFit="1" customWidth="1"/>
    <col min="6662" max="6898" width="9.1640625" style="198"/>
    <col min="6899" max="6899" width="12.1640625" style="198" customWidth="1"/>
    <col min="6900" max="6900" width="14.6640625" style="198" bestFit="1" customWidth="1"/>
    <col min="6901" max="6901" width="12.6640625" style="198" bestFit="1" customWidth="1"/>
    <col min="6902" max="6902" width="13.6640625" style="198" bestFit="1" customWidth="1"/>
    <col min="6903" max="6903" width="12.6640625" style="198" bestFit="1" customWidth="1"/>
    <col min="6904" max="6904" width="12.33203125" style="198" bestFit="1" customWidth="1"/>
    <col min="6905" max="6905" width="12.6640625" style="198" bestFit="1" customWidth="1"/>
    <col min="6906" max="6907" width="12.5" style="198" bestFit="1" customWidth="1"/>
    <col min="6908" max="6908" width="13.6640625" style="198" bestFit="1" customWidth="1"/>
    <col min="6909" max="6913" width="13.6640625" style="198" customWidth="1"/>
    <col min="6914" max="6914" width="16" style="198" customWidth="1"/>
    <col min="6915" max="6916" width="14" style="198" bestFit="1" customWidth="1"/>
    <col min="6917" max="6917" width="4.6640625" style="198" bestFit="1" customWidth="1"/>
    <col min="6918" max="7154" width="9.1640625" style="198"/>
    <col min="7155" max="7155" width="12.1640625" style="198" customWidth="1"/>
    <col min="7156" max="7156" width="14.6640625" style="198" bestFit="1" customWidth="1"/>
    <col min="7157" max="7157" width="12.6640625" style="198" bestFit="1" customWidth="1"/>
    <col min="7158" max="7158" width="13.6640625" style="198" bestFit="1" customWidth="1"/>
    <col min="7159" max="7159" width="12.6640625" style="198" bestFit="1" customWidth="1"/>
    <col min="7160" max="7160" width="12.33203125" style="198" bestFit="1" customWidth="1"/>
    <col min="7161" max="7161" width="12.6640625" style="198" bestFit="1" customWidth="1"/>
    <col min="7162" max="7163" width="12.5" style="198" bestFit="1" customWidth="1"/>
    <col min="7164" max="7164" width="13.6640625" style="198" bestFit="1" customWidth="1"/>
    <col min="7165" max="7169" width="13.6640625" style="198" customWidth="1"/>
    <col min="7170" max="7170" width="16" style="198" customWidth="1"/>
    <col min="7171" max="7172" width="14" style="198" bestFit="1" customWidth="1"/>
    <col min="7173" max="7173" width="4.6640625" style="198" bestFit="1" customWidth="1"/>
    <col min="7174" max="7410" width="9.1640625" style="198"/>
    <col min="7411" max="7411" width="12.1640625" style="198" customWidth="1"/>
    <col min="7412" max="7412" width="14.6640625" style="198" bestFit="1" customWidth="1"/>
    <col min="7413" max="7413" width="12.6640625" style="198" bestFit="1" customWidth="1"/>
    <col min="7414" max="7414" width="13.6640625" style="198" bestFit="1" customWidth="1"/>
    <col min="7415" max="7415" width="12.6640625" style="198" bestFit="1" customWidth="1"/>
    <col min="7416" max="7416" width="12.33203125" style="198" bestFit="1" customWidth="1"/>
    <col min="7417" max="7417" width="12.6640625" style="198" bestFit="1" customWidth="1"/>
    <col min="7418" max="7419" width="12.5" style="198" bestFit="1" customWidth="1"/>
    <col min="7420" max="7420" width="13.6640625" style="198" bestFit="1" customWidth="1"/>
    <col min="7421" max="7425" width="13.6640625" style="198" customWidth="1"/>
    <col min="7426" max="7426" width="16" style="198" customWidth="1"/>
    <col min="7427" max="7428" width="14" style="198" bestFit="1" customWidth="1"/>
    <col min="7429" max="7429" width="4.6640625" style="198" bestFit="1" customWidth="1"/>
    <col min="7430" max="7666" width="9.1640625" style="198"/>
    <col min="7667" max="7667" width="12.1640625" style="198" customWidth="1"/>
    <col min="7668" max="7668" width="14.6640625" style="198" bestFit="1" customWidth="1"/>
    <col min="7669" max="7669" width="12.6640625" style="198" bestFit="1" customWidth="1"/>
    <col min="7670" max="7670" width="13.6640625" style="198" bestFit="1" customWidth="1"/>
    <col min="7671" max="7671" width="12.6640625" style="198" bestFit="1" customWidth="1"/>
    <col min="7672" max="7672" width="12.33203125" style="198" bestFit="1" customWidth="1"/>
    <col min="7673" max="7673" width="12.6640625" style="198" bestFit="1" customWidth="1"/>
    <col min="7674" max="7675" width="12.5" style="198" bestFit="1" customWidth="1"/>
    <col min="7676" max="7676" width="13.6640625" style="198" bestFit="1" customWidth="1"/>
    <col min="7677" max="7681" width="13.6640625" style="198" customWidth="1"/>
    <col min="7682" max="7682" width="16" style="198" customWidth="1"/>
    <col min="7683" max="7684" width="14" style="198" bestFit="1" customWidth="1"/>
    <col min="7685" max="7685" width="4.6640625" style="198" bestFit="1" customWidth="1"/>
    <col min="7686" max="7922" width="9.1640625" style="198"/>
    <col min="7923" max="7923" width="12.1640625" style="198" customWidth="1"/>
    <col min="7924" max="7924" width="14.6640625" style="198" bestFit="1" customWidth="1"/>
    <col min="7925" max="7925" width="12.6640625" style="198" bestFit="1" customWidth="1"/>
    <col min="7926" max="7926" width="13.6640625" style="198" bestFit="1" customWidth="1"/>
    <col min="7927" max="7927" width="12.6640625" style="198" bestFit="1" customWidth="1"/>
    <col min="7928" max="7928" width="12.33203125" style="198" bestFit="1" customWidth="1"/>
    <col min="7929" max="7929" width="12.6640625" style="198" bestFit="1" customWidth="1"/>
    <col min="7930" max="7931" width="12.5" style="198" bestFit="1" customWidth="1"/>
    <col min="7932" max="7932" width="13.6640625" style="198" bestFit="1" customWidth="1"/>
    <col min="7933" max="7937" width="13.6640625" style="198" customWidth="1"/>
    <col min="7938" max="7938" width="16" style="198" customWidth="1"/>
    <col min="7939" max="7940" width="14" style="198" bestFit="1" customWidth="1"/>
    <col min="7941" max="7941" width="4.6640625" style="198" bestFit="1" customWidth="1"/>
    <col min="7942" max="8178" width="9.1640625" style="198"/>
    <col min="8179" max="8179" width="12.1640625" style="198" customWidth="1"/>
    <col min="8180" max="8180" width="14.6640625" style="198" bestFit="1" customWidth="1"/>
    <col min="8181" max="8181" width="12.6640625" style="198" bestFit="1" customWidth="1"/>
    <col min="8182" max="8182" width="13.6640625" style="198" bestFit="1" customWidth="1"/>
    <col min="8183" max="8183" width="12.6640625" style="198" bestFit="1" customWidth="1"/>
    <col min="8184" max="8184" width="12.33203125" style="198" bestFit="1" customWidth="1"/>
    <col min="8185" max="8185" width="12.6640625" style="198" bestFit="1" customWidth="1"/>
    <col min="8186" max="8187" width="12.5" style="198" bestFit="1" customWidth="1"/>
    <col min="8188" max="8188" width="13.6640625" style="198" bestFit="1" customWidth="1"/>
    <col min="8189" max="8193" width="13.6640625" style="198" customWidth="1"/>
    <col min="8194" max="8194" width="16" style="198" customWidth="1"/>
    <col min="8195" max="8196" width="14" style="198" bestFit="1" customWidth="1"/>
    <col min="8197" max="8197" width="4.6640625" style="198" bestFit="1" customWidth="1"/>
    <col min="8198" max="8434" width="9.1640625" style="198"/>
    <col min="8435" max="8435" width="12.1640625" style="198" customWidth="1"/>
    <col min="8436" max="8436" width="14.6640625" style="198" bestFit="1" customWidth="1"/>
    <col min="8437" max="8437" width="12.6640625" style="198" bestFit="1" customWidth="1"/>
    <col min="8438" max="8438" width="13.6640625" style="198" bestFit="1" customWidth="1"/>
    <col min="8439" max="8439" width="12.6640625" style="198" bestFit="1" customWidth="1"/>
    <col min="8440" max="8440" width="12.33203125" style="198" bestFit="1" customWidth="1"/>
    <col min="8441" max="8441" width="12.6640625" style="198" bestFit="1" customWidth="1"/>
    <col min="8442" max="8443" width="12.5" style="198" bestFit="1" customWidth="1"/>
    <col min="8444" max="8444" width="13.6640625" style="198" bestFit="1" customWidth="1"/>
    <col min="8445" max="8449" width="13.6640625" style="198" customWidth="1"/>
    <col min="8450" max="8450" width="16" style="198" customWidth="1"/>
    <col min="8451" max="8452" width="14" style="198" bestFit="1" customWidth="1"/>
    <col min="8453" max="8453" width="4.6640625" style="198" bestFit="1" customWidth="1"/>
    <col min="8454" max="8690" width="9.1640625" style="198"/>
    <col min="8691" max="8691" width="12.1640625" style="198" customWidth="1"/>
    <col min="8692" max="8692" width="14.6640625" style="198" bestFit="1" customWidth="1"/>
    <col min="8693" max="8693" width="12.6640625" style="198" bestFit="1" customWidth="1"/>
    <col min="8694" max="8694" width="13.6640625" style="198" bestFit="1" customWidth="1"/>
    <col min="8695" max="8695" width="12.6640625" style="198" bestFit="1" customWidth="1"/>
    <col min="8696" max="8696" width="12.33203125" style="198" bestFit="1" customWidth="1"/>
    <col min="8697" max="8697" width="12.6640625" style="198" bestFit="1" customWidth="1"/>
    <col min="8698" max="8699" width="12.5" style="198" bestFit="1" customWidth="1"/>
    <col min="8700" max="8700" width="13.6640625" style="198" bestFit="1" customWidth="1"/>
    <col min="8701" max="8705" width="13.6640625" style="198" customWidth="1"/>
    <col min="8706" max="8706" width="16" style="198" customWidth="1"/>
    <col min="8707" max="8708" width="14" style="198" bestFit="1" customWidth="1"/>
    <col min="8709" max="8709" width="4.6640625" style="198" bestFit="1" customWidth="1"/>
    <col min="8710" max="8946" width="9.1640625" style="198"/>
    <col min="8947" max="8947" width="12.1640625" style="198" customWidth="1"/>
    <col min="8948" max="8948" width="14.6640625" style="198" bestFit="1" customWidth="1"/>
    <col min="8949" max="8949" width="12.6640625" style="198" bestFit="1" customWidth="1"/>
    <col min="8950" max="8950" width="13.6640625" style="198" bestFit="1" customWidth="1"/>
    <col min="8951" max="8951" width="12.6640625" style="198" bestFit="1" customWidth="1"/>
    <col min="8952" max="8952" width="12.33203125" style="198" bestFit="1" customWidth="1"/>
    <col min="8953" max="8953" width="12.6640625" style="198" bestFit="1" customWidth="1"/>
    <col min="8954" max="8955" width="12.5" style="198" bestFit="1" customWidth="1"/>
    <col min="8956" max="8956" width="13.6640625" style="198" bestFit="1" customWidth="1"/>
    <col min="8957" max="8961" width="13.6640625" style="198" customWidth="1"/>
    <col min="8962" max="8962" width="16" style="198" customWidth="1"/>
    <col min="8963" max="8964" width="14" style="198" bestFit="1" customWidth="1"/>
    <col min="8965" max="8965" width="4.6640625" style="198" bestFit="1" customWidth="1"/>
    <col min="8966" max="9202" width="9.1640625" style="198"/>
    <col min="9203" max="9203" width="12.1640625" style="198" customWidth="1"/>
    <col min="9204" max="9204" width="14.6640625" style="198" bestFit="1" customWidth="1"/>
    <col min="9205" max="9205" width="12.6640625" style="198" bestFit="1" customWidth="1"/>
    <col min="9206" max="9206" width="13.6640625" style="198" bestFit="1" customWidth="1"/>
    <col min="9207" max="9207" width="12.6640625" style="198" bestFit="1" customWidth="1"/>
    <col min="9208" max="9208" width="12.33203125" style="198" bestFit="1" customWidth="1"/>
    <col min="9209" max="9209" width="12.6640625" style="198" bestFit="1" customWidth="1"/>
    <col min="9210" max="9211" width="12.5" style="198" bestFit="1" customWidth="1"/>
    <col min="9212" max="9212" width="13.6640625" style="198" bestFit="1" customWidth="1"/>
    <col min="9213" max="9217" width="13.6640625" style="198" customWidth="1"/>
    <col min="9218" max="9218" width="16" style="198" customWidth="1"/>
    <col min="9219" max="9220" width="14" style="198" bestFit="1" customWidth="1"/>
    <col min="9221" max="9221" width="4.6640625" style="198" bestFit="1" customWidth="1"/>
    <col min="9222" max="9458" width="9.1640625" style="198"/>
    <col min="9459" max="9459" width="12.1640625" style="198" customWidth="1"/>
    <col min="9460" max="9460" width="14.6640625" style="198" bestFit="1" customWidth="1"/>
    <col min="9461" max="9461" width="12.6640625" style="198" bestFit="1" customWidth="1"/>
    <col min="9462" max="9462" width="13.6640625" style="198" bestFit="1" customWidth="1"/>
    <col min="9463" max="9463" width="12.6640625" style="198" bestFit="1" customWidth="1"/>
    <col min="9464" max="9464" width="12.33203125" style="198" bestFit="1" customWidth="1"/>
    <col min="9465" max="9465" width="12.6640625" style="198" bestFit="1" customWidth="1"/>
    <col min="9466" max="9467" width="12.5" style="198" bestFit="1" customWidth="1"/>
    <col min="9468" max="9468" width="13.6640625" style="198" bestFit="1" customWidth="1"/>
    <col min="9469" max="9473" width="13.6640625" style="198" customWidth="1"/>
    <col min="9474" max="9474" width="16" style="198" customWidth="1"/>
    <col min="9475" max="9476" width="14" style="198" bestFit="1" customWidth="1"/>
    <col min="9477" max="9477" width="4.6640625" style="198" bestFit="1" customWidth="1"/>
    <col min="9478" max="9714" width="9.1640625" style="198"/>
    <col min="9715" max="9715" width="12.1640625" style="198" customWidth="1"/>
    <col min="9716" max="9716" width="14.6640625" style="198" bestFit="1" customWidth="1"/>
    <col min="9717" max="9717" width="12.6640625" style="198" bestFit="1" customWidth="1"/>
    <col min="9718" max="9718" width="13.6640625" style="198" bestFit="1" customWidth="1"/>
    <col min="9719" max="9719" width="12.6640625" style="198" bestFit="1" customWidth="1"/>
    <col min="9720" max="9720" width="12.33203125" style="198" bestFit="1" customWidth="1"/>
    <col min="9721" max="9721" width="12.6640625" style="198" bestFit="1" customWidth="1"/>
    <col min="9722" max="9723" width="12.5" style="198" bestFit="1" customWidth="1"/>
    <col min="9724" max="9724" width="13.6640625" style="198" bestFit="1" customWidth="1"/>
    <col min="9725" max="9729" width="13.6640625" style="198" customWidth="1"/>
    <col min="9730" max="9730" width="16" style="198" customWidth="1"/>
    <col min="9731" max="9732" width="14" style="198" bestFit="1" customWidth="1"/>
    <col min="9733" max="9733" width="4.6640625" style="198" bestFit="1" customWidth="1"/>
    <col min="9734" max="9970" width="9.1640625" style="198"/>
    <col min="9971" max="9971" width="12.1640625" style="198" customWidth="1"/>
    <col min="9972" max="9972" width="14.6640625" style="198" bestFit="1" customWidth="1"/>
    <col min="9973" max="9973" width="12.6640625" style="198" bestFit="1" customWidth="1"/>
    <col min="9974" max="9974" width="13.6640625" style="198" bestFit="1" customWidth="1"/>
    <col min="9975" max="9975" width="12.6640625" style="198" bestFit="1" customWidth="1"/>
    <col min="9976" max="9976" width="12.33203125" style="198" bestFit="1" customWidth="1"/>
    <col min="9977" max="9977" width="12.6640625" style="198" bestFit="1" customWidth="1"/>
    <col min="9978" max="9979" width="12.5" style="198" bestFit="1" customWidth="1"/>
    <col min="9980" max="9980" width="13.6640625" style="198" bestFit="1" customWidth="1"/>
    <col min="9981" max="9985" width="13.6640625" style="198" customWidth="1"/>
    <col min="9986" max="9986" width="16" style="198" customWidth="1"/>
    <col min="9987" max="9988" width="14" style="198" bestFit="1" customWidth="1"/>
    <col min="9989" max="9989" width="4.6640625" style="198" bestFit="1" customWidth="1"/>
    <col min="9990" max="10226" width="9.1640625" style="198"/>
    <col min="10227" max="10227" width="12.1640625" style="198" customWidth="1"/>
    <col min="10228" max="10228" width="14.6640625" style="198" bestFit="1" customWidth="1"/>
    <col min="10229" max="10229" width="12.6640625" style="198" bestFit="1" customWidth="1"/>
    <col min="10230" max="10230" width="13.6640625" style="198" bestFit="1" customWidth="1"/>
    <col min="10231" max="10231" width="12.6640625" style="198" bestFit="1" customWidth="1"/>
    <col min="10232" max="10232" width="12.33203125" style="198" bestFit="1" customWidth="1"/>
    <col min="10233" max="10233" width="12.6640625" style="198" bestFit="1" customWidth="1"/>
    <col min="10234" max="10235" width="12.5" style="198" bestFit="1" customWidth="1"/>
    <col min="10236" max="10236" width="13.6640625" style="198" bestFit="1" customWidth="1"/>
    <col min="10237" max="10241" width="13.6640625" style="198" customWidth="1"/>
    <col min="10242" max="10242" width="16" style="198" customWidth="1"/>
    <col min="10243" max="10244" width="14" style="198" bestFit="1" customWidth="1"/>
    <col min="10245" max="10245" width="4.6640625" style="198" bestFit="1" customWidth="1"/>
    <col min="10246" max="10482" width="9.1640625" style="198"/>
    <col min="10483" max="10483" width="12.1640625" style="198" customWidth="1"/>
    <col min="10484" max="10484" width="14.6640625" style="198" bestFit="1" customWidth="1"/>
    <col min="10485" max="10485" width="12.6640625" style="198" bestFit="1" customWidth="1"/>
    <col min="10486" max="10486" width="13.6640625" style="198" bestFit="1" customWidth="1"/>
    <col min="10487" max="10487" width="12.6640625" style="198" bestFit="1" customWidth="1"/>
    <col min="10488" max="10488" width="12.33203125" style="198" bestFit="1" customWidth="1"/>
    <col min="10489" max="10489" width="12.6640625" style="198" bestFit="1" customWidth="1"/>
    <col min="10490" max="10491" width="12.5" style="198" bestFit="1" customWidth="1"/>
    <col min="10492" max="10492" width="13.6640625" style="198" bestFit="1" customWidth="1"/>
    <col min="10493" max="10497" width="13.6640625" style="198" customWidth="1"/>
    <col min="10498" max="10498" width="16" style="198" customWidth="1"/>
    <col min="10499" max="10500" width="14" style="198" bestFit="1" customWidth="1"/>
    <col min="10501" max="10501" width="4.6640625" style="198" bestFit="1" customWidth="1"/>
    <col min="10502" max="10738" width="9.1640625" style="198"/>
    <col min="10739" max="10739" width="12.1640625" style="198" customWidth="1"/>
    <col min="10740" max="10740" width="14.6640625" style="198" bestFit="1" customWidth="1"/>
    <col min="10741" max="10741" width="12.6640625" style="198" bestFit="1" customWidth="1"/>
    <col min="10742" max="10742" width="13.6640625" style="198" bestFit="1" customWidth="1"/>
    <col min="10743" max="10743" width="12.6640625" style="198" bestFit="1" customWidth="1"/>
    <col min="10744" max="10744" width="12.33203125" style="198" bestFit="1" customWidth="1"/>
    <col min="10745" max="10745" width="12.6640625" style="198" bestFit="1" customWidth="1"/>
    <col min="10746" max="10747" width="12.5" style="198" bestFit="1" customWidth="1"/>
    <col min="10748" max="10748" width="13.6640625" style="198" bestFit="1" customWidth="1"/>
    <col min="10749" max="10753" width="13.6640625" style="198" customWidth="1"/>
    <col min="10754" max="10754" width="16" style="198" customWidth="1"/>
    <col min="10755" max="10756" width="14" style="198" bestFit="1" customWidth="1"/>
    <col min="10757" max="10757" width="4.6640625" style="198" bestFit="1" customWidth="1"/>
    <col min="10758" max="10994" width="9.1640625" style="198"/>
    <col min="10995" max="10995" width="12.1640625" style="198" customWidth="1"/>
    <col min="10996" max="10996" width="14.6640625" style="198" bestFit="1" customWidth="1"/>
    <col min="10997" max="10997" width="12.6640625" style="198" bestFit="1" customWidth="1"/>
    <col min="10998" max="10998" width="13.6640625" style="198" bestFit="1" customWidth="1"/>
    <col min="10999" max="10999" width="12.6640625" style="198" bestFit="1" customWidth="1"/>
    <col min="11000" max="11000" width="12.33203125" style="198" bestFit="1" customWidth="1"/>
    <col min="11001" max="11001" width="12.6640625" style="198" bestFit="1" customWidth="1"/>
    <col min="11002" max="11003" width="12.5" style="198" bestFit="1" customWidth="1"/>
    <col min="11004" max="11004" width="13.6640625" style="198" bestFit="1" customWidth="1"/>
    <col min="11005" max="11009" width="13.6640625" style="198" customWidth="1"/>
    <col min="11010" max="11010" width="16" style="198" customWidth="1"/>
    <col min="11011" max="11012" width="14" style="198" bestFit="1" customWidth="1"/>
    <col min="11013" max="11013" width="4.6640625" style="198" bestFit="1" customWidth="1"/>
    <col min="11014" max="11250" width="9.1640625" style="198"/>
    <col min="11251" max="11251" width="12.1640625" style="198" customWidth="1"/>
    <col min="11252" max="11252" width="14.6640625" style="198" bestFit="1" customWidth="1"/>
    <col min="11253" max="11253" width="12.6640625" style="198" bestFit="1" customWidth="1"/>
    <col min="11254" max="11254" width="13.6640625" style="198" bestFit="1" customWidth="1"/>
    <col min="11255" max="11255" width="12.6640625" style="198" bestFit="1" customWidth="1"/>
    <col min="11256" max="11256" width="12.33203125" style="198" bestFit="1" customWidth="1"/>
    <col min="11257" max="11257" width="12.6640625" style="198" bestFit="1" customWidth="1"/>
    <col min="11258" max="11259" width="12.5" style="198" bestFit="1" customWidth="1"/>
    <col min="11260" max="11260" width="13.6640625" style="198" bestFit="1" customWidth="1"/>
    <col min="11261" max="11265" width="13.6640625" style="198" customWidth="1"/>
    <col min="11266" max="11266" width="16" style="198" customWidth="1"/>
    <col min="11267" max="11268" width="14" style="198" bestFit="1" customWidth="1"/>
    <col min="11269" max="11269" width="4.6640625" style="198" bestFit="1" customWidth="1"/>
    <col min="11270" max="11506" width="9.1640625" style="198"/>
    <col min="11507" max="11507" width="12.1640625" style="198" customWidth="1"/>
    <col min="11508" max="11508" width="14.6640625" style="198" bestFit="1" customWidth="1"/>
    <col min="11509" max="11509" width="12.6640625" style="198" bestFit="1" customWidth="1"/>
    <col min="11510" max="11510" width="13.6640625" style="198" bestFit="1" customWidth="1"/>
    <col min="11511" max="11511" width="12.6640625" style="198" bestFit="1" customWidth="1"/>
    <col min="11512" max="11512" width="12.33203125" style="198" bestFit="1" customWidth="1"/>
    <col min="11513" max="11513" width="12.6640625" style="198" bestFit="1" customWidth="1"/>
    <col min="11514" max="11515" width="12.5" style="198" bestFit="1" customWidth="1"/>
    <col min="11516" max="11516" width="13.6640625" style="198" bestFit="1" customWidth="1"/>
    <col min="11517" max="11521" width="13.6640625" style="198" customWidth="1"/>
    <col min="11522" max="11522" width="16" style="198" customWidth="1"/>
    <col min="11523" max="11524" width="14" style="198" bestFit="1" customWidth="1"/>
    <col min="11525" max="11525" width="4.6640625" style="198" bestFit="1" customWidth="1"/>
    <col min="11526" max="11762" width="9.1640625" style="198"/>
    <col min="11763" max="11763" width="12.1640625" style="198" customWidth="1"/>
    <col min="11764" max="11764" width="14.6640625" style="198" bestFit="1" customWidth="1"/>
    <col min="11765" max="11765" width="12.6640625" style="198" bestFit="1" customWidth="1"/>
    <col min="11766" max="11766" width="13.6640625" style="198" bestFit="1" customWidth="1"/>
    <col min="11767" max="11767" width="12.6640625" style="198" bestFit="1" customWidth="1"/>
    <col min="11768" max="11768" width="12.33203125" style="198" bestFit="1" customWidth="1"/>
    <col min="11769" max="11769" width="12.6640625" style="198" bestFit="1" customWidth="1"/>
    <col min="11770" max="11771" width="12.5" style="198" bestFit="1" customWidth="1"/>
    <col min="11772" max="11772" width="13.6640625" style="198" bestFit="1" customWidth="1"/>
    <col min="11773" max="11777" width="13.6640625" style="198" customWidth="1"/>
    <col min="11778" max="11778" width="16" style="198" customWidth="1"/>
    <col min="11779" max="11780" width="14" style="198" bestFit="1" customWidth="1"/>
    <col min="11781" max="11781" width="4.6640625" style="198" bestFit="1" customWidth="1"/>
    <col min="11782" max="12018" width="9.1640625" style="198"/>
    <col min="12019" max="12019" width="12.1640625" style="198" customWidth="1"/>
    <col min="12020" max="12020" width="14.6640625" style="198" bestFit="1" customWidth="1"/>
    <col min="12021" max="12021" width="12.6640625" style="198" bestFit="1" customWidth="1"/>
    <col min="12022" max="12022" width="13.6640625" style="198" bestFit="1" customWidth="1"/>
    <col min="12023" max="12023" width="12.6640625" style="198" bestFit="1" customWidth="1"/>
    <col min="12024" max="12024" width="12.33203125" style="198" bestFit="1" customWidth="1"/>
    <col min="12025" max="12025" width="12.6640625" style="198" bestFit="1" customWidth="1"/>
    <col min="12026" max="12027" width="12.5" style="198" bestFit="1" customWidth="1"/>
    <col min="12028" max="12028" width="13.6640625" style="198" bestFit="1" customWidth="1"/>
    <col min="12029" max="12033" width="13.6640625" style="198" customWidth="1"/>
    <col min="12034" max="12034" width="16" style="198" customWidth="1"/>
    <col min="12035" max="12036" width="14" style="198" bestFit="1" customWidth="1"/>
    <col min="12037" max="12037" width="4.6640625" style="198" bestFit="1" customWidth="1"/>
    <col min="12038" max="12274" width="9.1640625" style="198"/>
    <col min="12275" max="12275" width="12.1640625" style="198" customWidth="1"/>
    <col min="12276" max="12276" width="14.6640625" style="198" bestFit="1" customWidth="1"/>
    <col min="12277" max="12277" width="12.6640625" style="198" bestFit="1" customWidth="1"/>
    <col min="12278" max="12278" width="13.6640625" style="198" bestFit="1" customWidth="1"/>
    <col min="12279" max="12279" width="12.6640625" style="198" bestFit="1" customWidth="1"/>
    <col min="12280" max="12280" width="12.33203125" style="198" bestFit="1" customWidth="1"/>
    <col min="12281" max="12281" width="12.6640625" style="198" bestFit="1" customWidth="1"/>
    <col min="12282" max="12283" width="12.5" style="198" bestFit="1" customWidth="1"/>
    <col min="12284" max="12284" width="13.6640625" style="198" bestFit="1" customWidth="1"/>
    <col min="12285" max="12289" width="13.6640625" style="198" customWidth="1"/>
    <col min="12290" max="12290" width="16" style="198" customWidth="1"/>
    <col min="12291" max="12292" width="14" style="198" bestFit="1" customWidth="1"/>
    <col min="12293" max="12293" width="4.6640625" style="198" bestFit="1" customWidth="1"/>
    <col min="12294" max="12530" width="9.1640625" style="198"/>
    <col min="12531" max="12531" width="12.1640625" style="198" customWidth="1"/>
    <col min="12532" max="12532" width="14.6640625" style="198" bestFit="1" customWidth="1"/>
    <col min="12533" max="12533" width="12.6640625" style="198" bestFit="1" customWidth="1"/>
    <col min="12534" max="12534" width="13.6640625" style="198" bestFit="1" customWidth="1"/>
    <col min="12535" max="12535" width="12.6640625" style="198" bestFit="1" customWidth="1"/>
    <col min="12536" max="12536" width="12.33203125" style="198" bestFit="1" customWidth="1"/>
    <col min="12537" max="12537" width="12.6640625" style="198" bestFit="1" customWidth="1"/>
    <col min="12538" max="12539" width="12.5" style="198" bestFit="1" customWidth="1"/>
    <col min="12540" max="12540" width="13.6640625" style="198" bestFit="1" customWidth="1"/>
    <col min="12541" max="12545" width="13.6640625" style="198" customWidth="1"/>
    <col min="12546" max="12546" width="16" style="198" customWidth="1"/>
    <col min="12547" max="12548" width="14" style="198" bestFit="1" customWidth="1"/>
    <col min="12549" max="12549" width="4.6640625" style="198" bestFit="1" customWidth="1"/>
    <col min="12550" max="12786" width="9.1640625" style="198"/>
    <col min="12787" max="12787" width="12.1640625" style="198" customWidth="1"/>
    <col min="12788" max="12788" width="14.6640625" style="198" bestFit="1" customWidth="1"/>
    <col min="12789" max="12789" width="12.6640625" style="198" bestFit="1" customWidth="1"/>
    <col min="12790" max="12790" width="13.6640625" style="198" bestFit="1" customWidth="1"/>
    <col min="12791" max="12791" width="12.6640625" style="198" bestFit="1" customWidth="1"/>
    <col min="12792" max="12792" width="12.33203125" style="198" bestFit="1" customWidth="1"/>
    <col min="12793" max="12793" width="12.6640625" style="198" bestFit="1" customWidth="1"/>
    <col min="12794" max="12795" width="12.5" style="198" bestFit="1" customWidth="1"/>
    <col min="12796" max="12796" width="13.6640625" style="198" bestFit="1" customWidth="1"/>
    <col min="12797" max="12801" width="13.6640625" style="198" customWidth="1"/>
    <col min="12802" max="12802" width="16" style="198" customWidth="1"/>
    <col min="12803" max="12804" width="14" style="198" bestFit="1" customWidth="1"/>
    <col min="12805" max="12805" width="4.6640625" style="198" bestFit="1" customWidth="1"/>
    <col min="12806" max="13042" width="9.1640625" style="198"/>
    <col min="13043" max="13043" width="12.1640625" style="198" customWidth="1"/>
    <col min="13044" max="13044" width="14.6640625" style="198" bestFit="1" customWidth="1"/>
    <col min="13045" max="13045" width="12.6640625" style="198" bestFit="1" customWidth="1"/>
    <col min="13046" max="13046" width="13.6640625" style="198" bestFit="1" customWidth="1"/>
    <col min="13047" max="13047" width="12.6640625" style="198" bestFit="1" customWidth="1"/>
    <col min="13048" max="13048" width="12.33203125" style="198" bestFit="1" customWidth="1"/>
    <col min="13049" max="13049" width="12.6640625" style="198" bestFit="1" customWidth="1"/>
    <col min="13050" max="13051" width="12.5" style="198" bestFit="1" customWidth="1"/>
    <col min="13052" max="13052" width="13.6640625" style="198" bestFit="1" customWidth="1"/>
    <col min="13053" max="13057" width="13.6640625" style="198" customWidth="1"/>
    <col min="13058" max="13058" width="16" style="198" customWidth="1"/>
    <col min="13059" max="13060" width="14" style="198" bestFit="1" customWidth="1"/>
    <col min="13061" max="13061" width="4.6640625" style="198" bestFit="1" customWidth="1"/>
    <col min="13062" max="13298" width="9.1640625" style="198"/>
    <col min="13299" max="13299" width="12.1640625" style="198" customWidth="1"/>
    <col min="13300" max="13300" width="14.6640625" style="198" bestFit="1" customWidth="1"/>
    <col min="13301" max="13301" width="12.6640625" style="198" bestFit="1" customWidth="1"/>
    <col min="13302" max="13302" width="13.6640625" style="198" bestFit="1" customWidth="1"/>
    <col min="13303" max="13303" width="12.6640625" style="198" bestFit="1" customWidth="1"/>
    <col min="13304" max="13304" width="12.33203125" style="198" bestFit="1" customWidth="1"/>
    <col min="13305" max="13305" width="12.6640625" style="198" bestFit="1" customWidth="1"/>
    <col min="13306" max="13307" width="12.5" style="198" bestFit="1" customWidth="1"/>
    <col min="13308" max="13308" width="13.6640625" style="198" bestFit="1" customWidth="1"/>
    <col min="13309" max="13313" width="13.6640625" style="198" customWidth="1"/>
    <col min="13314" max="13314" width="16" style="198" customWidth="1"/>
    <col min="13315" max="13316" width="14" style="198" bestFit="1" customWidth="1"/>
    <col min="13317" max="13317" width="4.6640625" style="198" bestFit="1" customWidth="1"/>
    <col min="13318" max="13554" width="9.1640625" style="198"/>
    <col min="13555" max="13555" width="12.1640625" style="198" customWidth="1"/>
    <col min="13556" max="13556" width="14.6640625" style="198" bestFit="1" customWidth="1"/>
    <col min="13557" max="13557" width="12.6640625" style="198" bestFit="1" customWidth="1"/>
    <col min="13558" max="13558" width="13.6640625" style="198" bestFit="1" customWidth="1"/>
    <col min="13559" max="13559" width="12.6640625" style="198" bestFit="1" customWidth="1"/>
    <col min="13560" max="13560" width="12.33203125" style="198" bestFit="1" customWidth="1"/>
    <col min="13561" max="13561" width="12.6640625" style="198" bestFit="1" customWidth="1"/>
    <col min="13562" max="13563" width="12.5" style="198" bestFit="1" customWidth="1"/>
    <col min="13564" max="13564" width="13.6640625" style="198" bestFit="1" customWidth="1"/>
    <col min="13565" max="13569" width="13.6640625" style="198" customWidth="1"/>
    <col min="13570" max="13570" width="16" style="198" customWidth="1"/>
    <col min="13571" max="13572" width="14" style="198" bestFit="1" customWidth="1"/>
    <col min="13573" max="13573" width="4.6640625" style="198" bestFit="1" customWidth="1"/>
    <col min="13574" max="13810" width="9.1640625" style="198"/>
    <col min="13811" max="13811" width="12.1640625" style="198" customWidth="1"/>
    <col min="13812" max="13812" width="14.6640625" style="198" bestFit="1" customWidth="1"/>
    <col min="13813" max="13813" width="12.6640625" style="198" bestFit="1" customWidth="1"/>
    <col min="13814" max="13814" width="13.6640625" style="198" bestFit="1" customWidth="1"/>
    <col min="13815" max="13815" width="12.6640625" style="198" bestFit="1" customWidth="1"/>
    <col min="13816" max="13816" width="12.33203125" style="198" bestFit="1" customWidth="1"/>
    <col min="13817" max="13817" width="12.6640625" style="198" bestFit="1" customWidth="1"/>
    <col min="13818" max="13819" width="12.5" style="198" bestFit="1" customWidth="1"/>
    <col min="13820" max="13820" width="13.6640625" style="198" bestFit="1" customWidth="1"/>
    <col min="13821" max="13825" width="13.6640625" style="198" customWidth="1"/>
    <col min="13826" max="13826" width="16" style="198" customWidth="1"/>
    <col min="13827" max="13828" width="14" style="198" bestFit="1" customWidth="1"/>
    <col min="13829" max="13829" width="4.6640625" style="198" bestFit="1" customWidth="1"/>
    <col min="13830" max="14066" width="9.1640625" style="198"/>
    <col min="14067" max="14067" width="12.1640625" style="198" customWidth="1"/>
    <col min="14068" max="14068" width="14.6640625" style="198" bestFit="1" customWidth="1"/>
    <col min="14069" max="14069" width="12.6640625" style="198" bestFit="1" customWidth="1"/>
    <col min="14070" max="14070" width="13.6640625" style="198" bestFit="1" customWidth="1"/>
    <col min="14071" max="14071" width="12.6640625" style="198" bestFit="1" customWidth="1"/>
    <col min="14072" max="14072" width="12.33203125" style="198" bestFit="1" customWidth="1"/>
    <col min="14073" max="14073" width="12.6640625" style="198" bestFit="1" customWidth="1"/>
    <col min="14074" max="14075" width="12.5" style="198" bestFit="1" customWidth="1"/>
    <col min="14076" max="14076" width="13.6640625" style="198" bestFit="1" customWidth="1"/>
    <col min="14077" max="14081" width="13.6640625" style="198" customWidth="1"/>
    <col min="14082" max="14082" width="16" style="198" customWidth="1"/>
    <col min="14083" max="14084" width="14" style="198" bestFit="1" customWidth="1"/>
    <col min="14085" max="14085" width="4.6640625" style="198" bestFit="1" customWidth="1"/>
    <col min="14086" max="14322" width="9.1640625" style="198"/>
    <col min="14323" max="14323" width="12.1640625" style="198" customWidth="1"/>
    <col min="14324" max="14324" width="14.6640625" style="198" bestFit="1" customWidth="1"/>
    <col min="14325" max="14325" width="12.6640625" style="198" bestFit="1" customWidth="1"/>
    <col min="14326" max="14326" width="13.6640625" style="198" bestFit="1" customWidth="1"/>
    <col min="14327" max="14327" width="12.6640625" style="198" bestFit="1" customWidth="1"/>
    <col min="14328" max="14328" width="12.33203125" style="198" bestFit="1" customWidth="1"/>
    <col min="14329" max="14329" width="12.6640625" style="198" bestFit="1" customWidth="1"/>
    <col min="14330" max="14331" width="12.5" style="198" bestFit="1" customWidth="1"/>
    <col min="14332" max="14332" width="13.6640625" style="198" bestFit="1" customWidth="1"/>
    <col min="14333" max="14337" width="13.6640625" style="198" customWidth="1"/>
    <col min="14338" max="14338" width="16" style="198" customWidth="1"/>
    <col min="14339" max="14340" width="14" style="198" bestFit="1" customWidth="1"/>
    <col min="14341" max="14341" width="4.6640625" style="198" bestFit="1" customWidth="1"/>
    <col min="14342" max="14578" width="9.1640625" style="198"/>
    <col min="14579" max="14579" width="12.1640625" style="198" customWidth="1"/>
    <col min="14580" max="14580" width="14.6640625" style="198" bestFit="1" customWidth="1"/>
    <col min="14581" max="14581" width="12.6640625" style="198" bestFit="1" customWidth="1"/>
    <col min="14582" max="14582" width="13.6640625" style="198" bestFit="1" customWidth="1"/>
    <col min="14583" max="14583" width="12.6640625" style="198" bestFit="1" customWidth="1"/>
    <col min="14584" max="14584" width="12.33203125" style="198" bestFit="1" customWidth="1"/>
    <col min="14585" max="14585" width="12.6640625" style="198" bestFit="1" customWidth="1"/>
    <col min="14586" max="14587" width="12.5" style="198" bestFit="1" customWidth="1"/>
    <col min="14588" max="14588" width="13.6640625" style="198" bestFit="1" customWidth="1"/>
    <col min="14589" max="14593" width="13.6640625" style="198" customWidth="1"/>
    <col min="14594" max="14594" width="16" style="198" customWidth="1"/>
    <col min="14595" max="14596" width="14" style="198" bestFit="1" customWidth="1"/>
    <col min="14597" max="14597" width="4.6640625" style="198" bestFit="1" customWidth="1"/>
    <col min="14598" max="14834" width="9.1640625" style="198"/>
    <col min="14835" max="14835" width="12.1640625" style="198" customWidth="1"/>
    <col min="14836" max="14836" width="14.6640625" style="198" bestFit="1" customWidth="1"/>
    <col min="14837" max="14837" width="12.6640625" style="198" bestFit="1" customWidth="1"/>
    <col min="14838" max="14838" width="13.6640625" style="198" bestFit="1" customWidth="1"/>
    <col min="14839" max="14839" width="12.6640625" style="198" bestFit="1" customWidth="1"/>
    <col min="14840" max="14840" width="12.33203125" style="198" bestFit="1" customWidth="1"/>
    <col min="14841" max="14841" width="12.6640625" style="198" bestFit="1" customWidth="1"/>
    <col min="14842" max="14843" width="12.5" style="198" bestFit="1" customWidth="1"/>
    <col min="14844" max="14844" width="13.6640625" style="198" bestFit="1" customWidth="1"/>
    <col min="14845" max="14849" width="13.6640625" style="198" customWidth="1"/>
    <col min="14850" max="14850" width="16" style="198" customWidth="1"/>
    <col min="14851" max="14852" width="14" style="198" bestFit="1" customWidth="1"/>
    <col min="14853" max="14853" width="4.6640625" style="198" bestFit="1" customWidth="1"/>
    <col min="14854" max="15090" width="9.1640625" style="198"/>
    <col min="15091" max="15091" width="12.1640625" style="198" customWidth="1"/>
    <col min="15092" max="15092" width="14.6640625" style="198" bestFit="1" customWidth="1"/>
    <col min="15093" max="15093" width="12.6640625" style="198" bestFit="1" customWidth="1"/>
    <col min="15094" max="15094" width="13.6640625" style="198" bestFit="1" customWidth="1"/>
    <col min="15095" max="15095" width="12.6640625" style="198" bestFit="1" customWidth="1"/>
    <col min="15096" max="15096" width="12.33203125" style="198" bestFit="1" customWidth="1"/>
    <col min="15097" max="15097" width="12.6640625" style="198" bestFit="1" customWidth="1"/>
    <col min="15098" max="15099" width="12.5" style="198" bestFit="1" customWidth="1"/>
    <col min="15100" max="15100" width="13.6640625" style="198" bestFit="1" customWidth="1"/>
    <col min="15101" max="15105" width="13.6640625" style="198" customWidth="1"/>
    <col min="15106" max="15106" width="16" style="198" customWidth="1"/>
    <col min="15107" max="15108" width="14" style="198" bestFit="1" customWidth="1"/>
    <col min="15109" max="15109" width="4.6640625" style="198" bestFit="1" customWidth="1"/>
    <col min="15110" max="15346" width="9.1640625" style="198"/>
    <col min="15347" max="15347" width="12.1640625" style="198" customWidth="1"/>
    <col min="15348" max="15348" width="14.6640625" style="198" bestFit="1" customWidth="1"/>
    <col min="15349" max="15349" width="12.6640625" style="198" bestFit="1" customWidth="1"/>
    <col min="15350" max="15350" width="13.6640625" style="198" bestFit="1" customWidth="1"/>
    <col min="15351" max="15351" width="12.6640625" style="198" bestFit="1" customWidth="1"/>
    <col min="15352" max="15352" width="12.33203125" style="198" bestFit="1" customWidth="1"/>
    <col min="15353" max="15353" width="12.6640625" style="198" bestFit="1" customWidth="1"/>
    <col min="15354" max="15355" width="12.5" style="198" bestFit="1" customWidth="1"/>
    <col min="15356" max="15356" width="13.6640625" style="198" bestFit="1" customWidth="1"/>
    <col min="15357" max="15361" width="13.6640625" style="198" customWidth="1"/>
    <col min="15362" max="15362" width="16" style="198" customWidth="1"/>
    <col min="15363" max="15364" width="14" style="198" bestFit="1" customWidth="1"/>
    <col min="15365" max="15365" width="4.6640625" style="198" bestFit="1" customWidth="1"/>
    <col min="15366" max="15602" width="9.1640625" style="198"/>
    <col min="15603" max="15603" width="12.1640625" style="198" customWidth="1"/>
    <col min="15604" max="15604" width="14.6640625" style="198" bestFit="1" customWidth="1"/>
    <col min="15605" max="15605" width="12.6640625" style="198" bestFit="1" customWidth="1"/>
    <col min="15606" max="15606" width="13.6640625" style="198" bestFit="1" customWidth="1"/>
    <col min="15607" max="15607" width="12.6640625" style="198" bestFit="1" customWidth="1"/>
    <col min="15608" max="15608" width="12.33203125" style="198" bestFit="1" customWidth="1"/>
    <col min="15609" max="15609" width="12.6640625" style="198" bestFit="1" customWidth="1"/>
    <col min="15610" max="15611" width="12.5" style="198" bestFit="1" customWidth="1"/>
    <col min="15612" max="15612" width="13.6640625" style="198" bestFit="1" customWidth="1"/>
    <col min="15613" max="15617" width="13.6640625" style="198" customWidth="1"/>
    <col min="15618" max="15618" width="16" style="198" customWidth="1"/>
    <col min="15619" max="15620" width="14" style="198" bestFit="1" customWidth="1"/>
    <col min="15621" max="15621" width="4.6640625" style="198" bestFit="1" customWidth="1"/>
    <col min="15622" max="15858" width="9.1640625" style="198"/>
    <col min="15859" max="15859" width="12.1640625" style="198" customWidth="1"/>
    <col min="15860" max="15860" width="14.6640625" style="198" bestFit="1" customWidth="1"/>
    <col min="15861" max="15861" width="12.6640625" style="198" bestFit="1" customWidth="1"/>
    <col min="15862" max="15862" width="13.6640625" style="198" bestFit="1" customWidth="1"/>
    <col min="15863" max="15863" width="12.6640625" style="198" bestFit="1" customWidth="1"/>
    <col min="15864" max="15864" width="12.33203125" style="198" bestFit="1" customWidth="1"/>
    <col min="15865" max="15865" width="12.6640625" style="198" bestFit="1" customWidth="1"/>
    <col min="15866" max="15867" width="12.5" style="198" bestFit="1" customWidth="1"/>
    <col min="15868" max="15868" width="13.6640625" style="198" bestFit="1" customWidth="1"/>
    <col min="15869" max="15873" width="13.6640625" style="198" customWidth="1"/>
    <col min="15874" max="15874" width="16" style="198" customWidth="1"/>
    <col min="15875" max="15876" width="14" style="198" bestFit="1" customWidth="1"/>
    <col min="15877" max="15877" width="4.6640625" style="198" bestFit="1" customWidth="1"/>
    <col min="15878" max="16114" width="9.1640625" style="198"/>
    <col min="16115" max="16115" width="12.1640625" style="198" customWidth="1"/>
    <col min="16116" max="16116" width="14.6640625" style="198" bestFit="1" customWidth="1"/>
    <col min="16117" max="16117" width="12.6640625" style="198" bestFit="1" customWidth="1"/>
    <col min="16118" max="16118" width="13.6640625" style="198" bestFit="1" customWidth="1"/>
    <col min="16119" max="16119" width="12.6640625" style="198" bestFit="1" customWidth="1"/>
    <col min="16120" max="16120" width="12.33203125" style="198" bestFit="1" customWidth="1"/>
    <col min="16121" max="16121" width="12.6640625" style="198" bestFit="1" customWidth="1"/>
    <col min="16122" max="16123" width="12.5" style="198" bestFit="1" customWidth="1"/>
    <col min="16124" max="16124" width="13.6640625" style="198" bestFit="1" customWidth="1"/>
    <col min="16125" max="16129" width="13.6640625" style="198" customWidth="1"/>
    <col min="16130" max="16130" width="16" style="198" customWidth="1"/>
    <col min="16131" max="16132" width="14" style="198" bestFit="1" customWidth="1"/>
    <col min="16133" max="16133" width="4.6640625" style="198" bestFit="1" customWidth="1"/>
    <col min="16134" max="16384" width="9.1640625" style="198"/>
  </cols>
  <sheetData>
    <row r="1" spans="1:5" ht="15.75" customHeight="1">
      <c r="A1" s="609" t="s">
        <v>22</v>
      </c>
      <c r="B1" s="609"/>
      <c r="C1" s="609"/>
      <c r="D1" s="609"/>
      <c r="E1" s="609"/>
    </row>
    <row r="2" spans="1:5" s="322" customFormat="1" ht="15.75" customHeight="1">
      <c r="A2" s="616" t="str">
        <f>'Rate Change Calc'!A2:E2</f>
        <v>2016 Gas Decoupling Filing</v>
      </c>
      <c r="B2" s="616"/>
      <c r="C2" s="616"/>
      <c r="D2" s="616"/>
      <c r="E2" s="616"/>
    </row>
    <row r="3" spans="1:5" ht="15.75" customHeight="1">
      <c r="A3" s="609" t="s">
        <v>494</v>
      </c>
      <c r="B3" s="609"/>
      <c r="C3" s="609"/>
      <c r="D3" s="609"/>
      <c r="E3" s="609"/>
    </row>
    <row r="4" spans="1:5" ht="15.75" customHeight="1">
      <c r="A4" s="616" t="str">
        <f>'Rate Change Calc'!A4:E4</f>
        <v>Proposed Effective May 1, 2016</v>
      </c>
      <c r="B4" s="616"/>
      <c r="C4" s="616"/>
      <c r="D4" s="616"/>
      <c r="E4" s="616"/>
    </row>
    <row r="5" spans="1:5" ht="16">
      <c r="A5" s="199"/>
      <c r="B5" s="199"/>
      <c r="C5" s="200"/>
      <c r="D5" s="322"/>
      <c r="E5" s="322"/>
    </row>
    <row r="6" spans="1:5">
      <c r="A6" s="225" t="s">
        <v>495</v>
      </c>
      <c r="B6" s="322"/>
      <c r="C6" s="202"/>
      <c r="D6" s="322"/>
      <c r="E6" s="322"/>
    </row>
    <row r="7" spans="1:5">
      <c r="A7" s="599" t="s">
        <v>240</v>
      </c>
      <c r="B7" s="221" t="s">
        <v>496</v>
      </c>
      <c r="C7" s="322"/>
      <c r="D7" s="322"/>
      <c r="E7" s="322"/>
    </row>
    <row r="8" spans="1:5">
      <c r="A8" s="202">
        <v>23</v>
      </c>
      <c r="B8" s="203">
        <v>559985963.24206698</v>
      </c>
      <c r="C8" s="205"/>
      <c r="D8" s="206"/>
      <c r="E8" s="322"/>
    </row>
    <row r="9" spans="1:5">
      <c r="A9" s="202">
        <v>31</v>
      </c>
      <c r="B9" s="203">
        <v>209236427.78945237</v>
      </c>
      <c r="C9" s="205"/>
      <c r="D9" s="206"/>
      <c r="E9" s="322"/>
    </row>
    <row r="10" spans="1:5" s="322" customFormat="1">
      <c r="A10" s="202" t="s">
        <v>241</v>
      </c>
      <c r="B10" s="203">
        <v>17321.61</v>
      </c>
      <c r="C10" s="205"/>
      <c r="D10" s="206"/>
    </row>
    <row r="11" spans="1:5">
      <c r="A11" s="202">
        <v>41</v>
      </c>
      <c r="B11" s="203">
        <v>66390392.365363024</v>
      </c>
      <c r="C11" s="205"/>
      <c r="D11" s="206"/>
      <c r="E11" s="322"/>
    </row>
    <row r="12" spans="1:5">
      <c r="A12" s="202" t="s">
        <v>242</v>
      </c>
      <c r="B12" s="203">
        <v>16213608.98</v>
      </c>
      <c r="C12" s="205"/>
      <c r="D12" s="206"/>
      <c r="E12" s="322"/>
    </row>
    <row r="13" spans="1:5">
      <c r="A13" s="202">
        <v>53</v>
      </c>
      <c r="B13" s="203">
        <v>290.83699999999999</v>
      </c>
      <c r="C13" s="205"/>
      <c r="D13" s="206"/>
      <c r="E13" s="322"/>
    </row>
    <row r="14" spans="1:5">
      <c r="A14" s="202">
        <v>86</v>
      </c>
      <c r="B14" s="203">
        <v>10180651.397382727</v>
      </c>
      <c r="C14" s="205"/>
      <c r="D14" s="206"/>
      <c r="E14" s="322"/>
    </row>
    <row r="15" spans="1:5" s="322" customFormat="1">
      <c r="A15" s="202" t="s">
        <v>244</v>
      </c>
      <c r="B15" s="203">
        <v>231674.77000000002</v>
      </c>
      <c r="C15" s="205"/>
      <c r="D15" s="206"/>
    </row>
    <row r="16" spans="1:5">
      <c r="A16" s="322" t="s">
        <v>143</v>
      </c>
      <c r="B16" s="207">
        <f>SUM(B8:B15)</f>
        <v>862256330.99126518</v>
      </c>
      <c r="C16" s="205"/>
      <c r="D16" s="206"/>
      <c r="E16" s="322"/>
    </row>
    <row r="17" spans="1:5">
      <c r="A17" s="202"/>
      <c r="B17" s="203"/>
      <c r="C17" s="205"/>
      <c r="D17" s="206"/>
      <c r="E17" s="322"/>
    </row>
    <row r="18" spans="1:5">
      <c r="A18" s="306" t="s">
        <v>28</v>
      </c>
      <c r="B18" s="204">
        <f>SUM(B8,B13)</f>
        <v>559986254.07906699</v>
      </c>
      <c r="C18" s="205"/>
      <c r="D18" s="206"/>
      <c r="E18" s="322"/>
    </row>
    <row r="19" spans="1:5">
      <c r="A19" s="306" t="s">
        <v>497</v>
      </c>
      <c r="B19" s="204">
        <f>SUM(B9:B12,B14:B15)</f>
        <v>302270076.91219813</v>
      </c>
      <c r="C19" s="208"/>
      <c r="D19" s="206"/>
      <c r="E19" s="322"/>
    </row>
    <row r="20" spans="1:5" s="322" customFormat="1">
      <c r="A20" s="306"/>
      <c r="B20" s="204"/>
      <c r="C20" s="208"/>
      <c r="D20" s="206"/>
    </row>
    <row r="21" spans="1:5">
      <c r="A21" s="306"/>
      <c r="B21" s="204"/>
      <c r="C21" s="208"/>
      <c r="D21" s="206"/>
      <c r="E21" s="322"/>
    </row>
    <row r="22" spans="1:5">
      <c r="A22" s="225" t="s">
        <v>498</v>
      </c>
      <c r="B22" s="204"/>
      <c r="C22" s="322"/>
      <c r="D22" s="322"/>
      <c r="E22" s="322"/>
    </row>
    <row r="23" spans="1:5">
      <c r="A23" s="322"/>
      <c r="B23" s="204"/>
      <c r="C23" s="202" t="s">
        <v>384</v>
      </c>
      <c r="D23" s="202" t="s">
        <v>499</v>
      </c>
      <c r="E23" s="202" t="s">
        <v>500</v>
      </c>
    </row>
    <row r="24" spans="1:5">
      <c r="A24" s="599" t="s">
        <v>240</v>
      </c>
      <c r="B24" s="221" t="str">
        <f>B7</f>
        <v>Total 2015</v>
      </c>
      <c r="C24" s="221" t="s">
        <v>501</v>
      </c>
      <c r="D24" s="221" t="s">
        <v>502</v>
      </c>
      <c r="E24" s="599" t="s">
        <v>290</v>
      </c>
    </row>
    <row r="25" spans="1:5">
      <c r="A25" s="202">
        <v>23</v>
      </c>
      <c r="B25" s="219">
        <v>592514340.7479949</v>
      </c>
      <c r="C25" s="322"/>
      <c r="D25" s="322"/>
      <c r="E25" s="222">
        <f>B25+D25</f>
        <v>592514340.7479949</v>
      </c>
    </row>
    <row r="26" spans="1:5">
      <c r="A26" s="202">
        <v>31</v>
      </c>
      <c r="B26" s="219">
        <v>209481623.86061531</v>
      </c>
      <c r="C26" s="212"/>
      <c r="D26" s="212"/>
      <c r="E26" s="222">
        <f t="shared" ref="E26:E31" si="0">B26+D26</f>
        <v>209481623.86061531</v>
      </c>
    </row>
    <row r="27" spans="1:5" s="322" customFormat="1">
      <c r="A27" s="202" t="s">
        <v>241</v>
      </c>
      <c r="B27" s="219">
        <v>7219.3204644899288</v>
      </c>
      <c r="C27" s="464">
        <v>0.43520999999999999</v>
      </c>
      <c r="D27" s="220">
        <f>B10*C27</f>
        <v>7538.5378880999997</v>
      </c>
      <c r="E27" s="222">
        <f t="shared" si="0"/>
        <v>14757.858352589928</v>
      </c>
    </row>
    <row r="28" spans="1:5">
      <c r="A28" s="202">
        <v>41</v>
      </c>
      <c r="B28" s="219">
        <v>33743247.413417019</v>
      </c>
      <c r="C28" s="213"/>
      <c r="D28" s="213"/>
      <c r="E28" s="222">
        <f t="shared" si="0"/>
        <v>33743247.413417019</v>
      </c>
    </row>
    <row r="29" spans="1:5">
      <c r="A29" s="202" t="s">
        <v>242</v>
      </c>
      <c r="B29" s="219">
        <v>878177.15666736802</v>
      </c>
      <c r="C29" s="430">
        <v>0.34828999999999999</v>
      </c>
      <c r="D29" s="220">
        <f>B12*C29</f>
        <v>5647037.8716441998</v>
      </c>
      <c r="E29" s="222">
        <f t="shared" si="0"/>
        <v>6525215.0283115674</v>
      </c>
    </row>
    <row r="30" spans="1:5">
      <c r="A30" s="202">
        <v>53</v>
      </c>
      <c r="B30" s="219">
        <v>1787.5361619200003</v>
      </c>
      <c r="C30" s="213"/>
      <c r="D30" s="213"/>
      <c r="E30" s="222">
        <f t="shared" si="0"/>
        <v>1787.5361619200003</v>
      </c>
    </row>
    <row r="31" spans="1:5">
      <c r="A31" s="202">
        <v>86</v>
      </c>
      <c r="B31" s="219">
        <v>5029542.6284342855</v>
      </c>
      <c r="C31" s="430"/>
      <c r="D31" s="213"/>
      <c r="E31" s="222">
        <f t="shared" si="0"/>
        <v>5029542.6284342855</v>
      </c>
    </row>
    <row r="32" spans="1:5" s="322" customFormat="1">
      <c r="A32" s="202" t="s">
        <v>244</v>
      </c>
      <c r="B32" s="223">
        <v>17399.769485396831</v>
      </c>
      <c r="C32" s="430">
        <v>0.38585999999999998</v>
      </c>
      <c r="D32" s="220">
        <f>B15*C32</f>
        <v>89394.026752200007</v>
      </c>
      <c r="E32" s="224">
        <f>B32+D32</f>
        <v>106793.79623759683</v>
      </c>
    </row>
    <row r="33" spans="1:5">
      <c r="A33" s="306" t="s">
        <v>143</v>
      </c>
      <c r="B33" s="220">
        <f>SUM(B25:B32)</f>
        <v>841673338.43324053</v>
      </c>
      <c r="C33" s="213"/>
      <c r="D33" s="213"/>
      <c r="E33" s="220">
        <f>SUM(E25:E32)</f>
        <v>847417308.86952507</v>
      </c>
    </row>
    <row r="34" spans="1:5">
      <c r="A34" s="202"/>
      <c r="B34" s="222"/>
      <c r="C34" s="212"/>
      <c r="D34" s="212"/>
      <c r="E34" s="322"/>
    </row>
    <row r="35" spans="1:5">
      <c r="A35" s="306"/>
      <c r="B35" s="222"/>
      <c r="C35" s="213"/>
      <c r="D35" s="213"/>
      <c r="E35" s="322"/>
    </row>
    <row r="36" spans="1:5">
      <c r="A36" s="306" t="s">
        <v>28</v>
      </c>
      <c r="B36" s="222"/>
      <c r="C36" s="222"/>
      <c r="D36" s="222"/>
      <c r="E36" s="222">
        <f t="shared" ref="E36" si="1">SUM(E25,E30)</f>
        <v>592516128.2841568</v>
      </c>
    </row>
    <row r="37" spans="1:5">
      <c r="A37" s="306" t="s">
        <v>497</v>
      </c>
      <c r="B37" s="222"/>
      <c r="C37" s="222"/>
      <c r="D37" s="222"/>
      <c r="E37" s="222">
        <f>SUM(E26:E29,E31:E32)</f>
        <v>254901180.58536839</v>
      </c>
    </row>
    <row r="38" spans="1:5">
      <c r="A38" s="322"/>
      <c r="B38" s="204"/>
      <c r="C38" s="322"/>
      <c r="D38" s="322"/>
      <c r="E38" s="322"/>
    </row>
    <row r="39" spans="1:5">
      <c r="A39" s="322" t="s">
        <v>503</v>
      </c>
      <c r="B39" s="204"/>
      <c r="C39" s="214"/>
      <c r="D39" s="322"/>
      <c r="E39" s="322"/>
    </row>
    <row r="40" spans="1:5">
      <c r="A40" s="322"/>
      <c r="B40" s="204"/>
      <c r="C40" s="214"/>
      <c r="D40" s="322"/>
      <c r="E40" s="322"/>
    </row>
    <row r="41" spans="1:5">
      <c r="A41" s="322"/>
      <c r="B41" s="214"/>
      <c r="C41" s="214"/>
      <c r="D41" s="322"/>
      <c r="E41" s="322"/>
    </row>
    <row r="44" spans="1:5">
      <c r="A44" s="322"/>
      <c r="B44" s="215"/>
      <c r="C44" s="214"/>
      <c r="D44" s="322"/>
      <c r="E44" s="322"/>
    </row>
    <row r="47" spans="1:5">
      <c r="A47" s="322"/>
      <c r="B47" s="216"/>
      <c r="C47" s="322"/>
      <c r="D47" s="322"/>
      <c r="E47" s="322"/>
    </row>
    <row r="48" spans="1:5">
      <c r="A48" s="202"/>
      <c r="B48" s="214"/>
      <c r="C48" s="214"/>
      <c r="D48" s="322"/>
      <c r="E48" s="322"/>
    </row>
    <row r="49" spans="1:3">
      <c r="A49" s="202"/>
      <c r="B49" s="217"/>
      <c r="C49" s="214"/>
    </row>
    <row r="50" spans="1:3">
      <c r="A50" s="322"/>
      <c r="B50" s="214"/>
      <c r="C50" s="214"/>
    </row>
    <row r="51" spans="1:3">
      <c r="A51" s="202"/>
      <c r="B51" s="218"/>
      <c r="C51" s="214"/>
    </row>
    <row r="52" spans="1:3">
      <c r="A52" s="202"/>
      <c r="B52" s="214"/>
      <c r="C52" s="214"/>
    </row>
    <row r="53" spans="1:3">
      <c r="A53" s="202"/>
      <c r="B53" s="214"/>
      <c r="C53" s="214"/>
    </row>
    <row r="54" spans="1:3">
      <c r="A54" s="202"/>
      <c r="B54" s="214"/>
      <c r="C54" s="214"/>
    </row>
    <row r="55" spans="1:3">
      <c r="A55" s="202"/>
      <c r="B55" s="214"/>
      <c r="C55" s="214"/>
    </row>
    <row r="56" spans="1:3">
      <c r="A56" s="202"/>
      <c r="B56" s="214"/>
      <c r="C56" s="214"/>
    </row>
    <row r="57" spans="1:3">
      <c r="A57" s="202"/>
      <c r="B57" s="214"/>
      <c r="C57" s="214"/>
    </row>
    <row r="58" spans="1:3">
      <c r="A58" s="322"/>
      <c r="B58" s="214"/>
      <c r="C58" s="214"/>
    </row>
    <row r="60" spans="1:3">
      <c r="A60" s="322"/>
      <c r="B60" s="214"/>
      <c r="C60" s="214"/>
    </row>
    <row r="61" spans="1:3">
      <c r="A61" s="322"/>
      <c r="B61" s="214"/>
      <c r="C61" s="214"/>
    </row>
  </sheetData>
  <mergeCells count="4">
    <mergeCell ref="A1:E1"/>
    <mergeCell ref="A3:E3"/>
    <mergeCell ref="A4:E4"/>
    <mergeCell ref="A2:E2"/>
  </mergeCells>
  <printOptions horizontalCentered="1"/>
  <pageMargins left="0.7" right="0.7" top="0.75" bottom="0.75" header="0.3" footer="0.3"/>
  <pageSetup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6"/>
  <sheetViews>
    <sheetView workbookViewId="0">
      <selection activeCell="I68" sqref="I68"/>
    </sheetView>
  </sheetViews>
  <sheetFormatPr baseColWidth="10" defaultColWidth="9.1640625" defaultRowHeight="13"/>
  <cols>
    <col min="1" max="1" width="5.5" style="316" bestFit="1" customWidth="1"/>
    <col min="2" max="2" width="39.33203125" style="316" customWidth="1"/>
    <col min="3" max="3" width="15.6640625" style="316" customWidth="1"/>
    <col min="4" max="16384" width="9.1640625" style="316"/>
  </cols>
  <sheetData>
    <row r="1" spans="1:4">
      <c r="A1" s="609" t="s">
        <v>22</v>
      </c>
      <c r="B1" s="609"/>
      <c r="C1" s="609"/>
      <c r="D1" s="315"/>
    </row>
    <row r="2" spans="1:4">
      <c r="A2" s="616" t="str">
        <f>'Rate Change Calc'!A2:E2</f>
        <v>2016 Gas Decoupling Filing</v>
      </c>
      <c r="B2" s="616"/>
      <c r="C2" s="616"/>
      <c r="D2" s="315"/>
    </row>
    <row r="3" spans="1:4">
      <c r="A3" s="609" t="s">
        <v>504</v>
      </c>
      <c r="B3" s="609"/>
      <c r="C3" s="609"/>
      <c r="D3" s="315"/>
    </row>
    <row r="4" spans="1:4">
      <c r="A4" s="616" t="str">
        <f>'Rate Change Calc'!A4:E4</f>
        <v>Proposed Effective May 1, 2016</v>
      </c>
      <c r="B4" s="616"/>
      <c r="C4" s="616"/>
      <c r="D4" s="315"/>
    </row>
    <row r="5" spans="1:4">
      <c r="A5" s="609"/>
      <c r="B5" s="609"/>
      <c r="C5" s="609"/>
      <c r="D5" s="315"/>
    </row>
    <row r="6" spans="1:4">
      <c r="A6" s="315"/>
      <c r="B6" s="315"/>
      <c r="C6" s="314"/>
      <c r="D6" s="315"/>
    </row>
    <row r="7" spans="1:4" ht="28">
      <c r="A7" s="289" t="s">
        <v>26</v>
      </c>
      <c r="B7" s="227"/>
      <c r="C7" s="310" t="s">
        <v>505</v>
      </c>
      <c r="D7" s="315"/>
    </row>
    <row r="8" spans="1:4">
      <c r="A8" s="315"/>
      <c r="B8" s="392" t="s">
        <v>30</v>
      </c>
      <c r="C8" s="598" t="s">
        <v>31</v>
      </c>
      <c r="D8" s="315"/>
    </row>
    <row r="9" spans="1:4">
      <c r="A9" s="392">
        <v>1</v>
      </c>
      <c r="B9" s="228"/>
      <c r="C9" s="315"/>
      <c r="D9" s="315"/>
    </row>
    <row r="10" spans="1:4">
      <c r="A10" s="392">
        <f t="shared" ref="A10:A20" si="0">A9+1</f>
        <v>2</v>
      </c>
      <c r="B10" s="294" t="s">
        <v>467</v>
      </c>
      <c r="C10" s="315"/>
      <c r="D10" s="315"/>
    </row>
    <row r="11" spans="1:4">
      <c r="A11" s="392">
        <f t="shared" si="0"/>
        <v>3</v>
      </c>
      <c r="B11" s="315" t="s">
        <v>506</v>
      </c>
      <c r="C11" s="350">
        <f>AVERAGE('Res Deferral Calc 2015'!C9:N9)</f>
        <v>737339</v>
      </c>
      <c r="D11" s="315"/>
    </row>
    <row r="12" spans="1:4">
      <c r="A12" s="392">
        <f t="shared" si="0"/>
        <v>4</v>
      </c>
      <c r="B12" s="315" t="s">
        <v>507</v>
      </c>
      <c r="C12" s="350">
        <f>AVERAGE('Non-Res Deferral Calc 2015'!C9:N9)</f>
        <v>57379.916666666664</v>
      </c>
      <c r="D12" s="315"/>
    </row>
    <row r="13" spans="1:4">
      <c r="A13" s="392">
        <f t="shared" si="0"/>
        <v>5</v>
      </c>
      <c r="B13" s="315"/>
      <c r="C13" s="315"/>
      <c r="D13" s="315"/>
    </row>
    <row r="14" spans="1:4">
      <c r="A14" s="392">
        <f t="shared" si="0"/>
        <v>6</v>
      </c>
      <c r="B14" s="295" t="s">
        <v>508</v>
      </c>
      <c r="C14" s="315"/>
      <c r="D14" s="315"/>
    </row>
    <row r="15" spans="1:4">
      <c r="A15" s="392">
        <f t="shared" si="0"/>
        <v>7</v>
      </c>
      <c r="B15" s="315" t="s">
        <v>506</v>
      </c>
      <c r="C15" s="313">
        <f>'JPG-4'!D25</f>
        <v>442.14</v>
      </c>
      <c r="D15" s="315"/>
    </row>
    <row r="16" spans="1:4">
      <c r="A16" s="392">
        <f t="shared" si="0"/>
        <v>8</v>
      </c>
      <c r="B16" s="315" t="s">
        <v>507</v>
      </c>
      <c r="C16" s="313">
        <f>'JPG-4'!E25</f>
        <v>2017.95</v>
      </c>
      <c r="D16" s="315"/>
    </row>
    <row r="17" spans="1:4">
      <c r="A17" s="392">
        <f t="shared" si="0"/>
        <v>9</v>
      </c>
      <c r="B17" s="315"/>
      <c r="C17" s="315"/>
      <c r="D17" s="315"/>
    </row>
    <row r="18" spans="1:4">
      <c r="A18" s="392">
        <f t="shared" si="0"/>
        <v>10</v>
      </c>
      <c r="B18" s="295" t="s">
        <v>509</v>
      </c>
      <c r="C18" s="315"/>
      <c r="D18" s="315"/>
    </row>
    <row r="19" spans="1:4">
      <c r="A19" s="392">
        <f t="shared" si="0"/>
        <v>11</v>
      </c>
      <c r="B19" s="315" t="s">
        <v>506</v>
      </c>
      <c r="C19" s="285">
        <f>ROUND(C11*C15,0)</f>
        <v>326007065</v>
      </c>
      <c r="D19" s="315"/>
    </row>
    <row r="20" spans="1:4">
      <c r="A20" s="392">
        <f t="shared" si="0"/>
        <v>12</v>
      </c>
      <c r="B20" s="315" t="s">
        <v>507</v>
      </c>
      <c r="C20" s="285">
        <f>ROUND(C12*C16,0)</f>
        <v>115789803</v>
      </c>
      <c r="D20" s="315"/>
    </row>
    <row r="21" spans="1:4">
      <c r="A21" s="315"/>
      <c r="B21" s="315"/>
      <c r="C21" s="315"/>
      <c r="D21" s="315"/>
    </row>
    <row r="22" spans="1:4">
      <c r="B22" s="315"/>
      <c r="C22" s="315"/>
      <c r="D22" s="315"/>
    </row>
    <row r="23" spans="1:4">
      <c r="A23" s="315"/>
      <c r="B23" s="315"/>
      <c r="C23" s="315"/>
      <c r="D23" s="315"/>
    </row>
    <row r="24" spans="1:4">
      <c r="A24" s="315"/>
      <c r="B24" s="315"/>
      <c r="C24" s="315"/>
      <c r="D24" s="315"/>
    </row>
    <row r="25" spans="1:4">
      <c r="A25" s="315"/>
      <c r="B25" s="315"/>
      <c r="C25" s="315"/>
      <c r="D25" s="315"/>
    </row>
    <row r="26" spans="1:4">
      <c r="A26" s="315"/>
      <c r="B26" s="315"/>
      <c r="C26" s="315"/>
      <c r="D26" s="315"/>
    </row>
  </sheetData>
  <mergeCells count="5">
    <mergeCell ref="A1:C1"/>
    <mergeCell ref="A2:C2"/>
    <mergeCell ref="A3:C3"/>
    <mergeCell ref="A4:C4"/>
    <mergeCell ref="A5:C5"/>
  </mergeCells>
  <printOptions horizontalCentered="1"/>
  <pageMargins left="0.7" right="0.7" top="0.75" bottom="0.75" header="0.3" footer="0.3"/>
  <pageSetup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4:E22"/>
  <sheetViews>
    <sheetView view="pageLayout" topLeftCell="A20" zoomScaleNormal="61" workbookViewId="0">
      <selection activeCell="I68" sqref="I68"/>
    </sheetView>
  </sheetViews>
  <sheetFormatPr baseColWidth="10" defaultColWidth="8.83203125" defaultRowHeight="15"/>
  <cols>
    <col min="1" max="1" width="38.5" bestFit="1" customWidth="1"/>
    <col min="2" max="2" width="15.33203125" bestFit="1" customWidth="1"/>
    <col min="3" max="3" width="15.33203125" customWidth="1"/>
    <col min="4" max="5" width="14.33203125" bestFit="1" customWidth="1"/>
  </cols>
  <sheetData>
    <row r="4" spans="1:5">
      <c r="B4" s="607" t="s">
        <v>1</v>
      </c>
      <c r="C4" s="608"/>
      <c r="D4" s="607" t="s">
        <v>2</v>
      </c>
      <c r="E4" s="608"/>
    </row>
    <row r="5" spans="1:5">
      <c r="A5" s="484" t="s">
        <v>16</v>
      </c>
      <c r="B5" s="549" t="s">
        <v>17</v>
      </c>
      <c r="C5" s="575" t="s">
        <v>18</v>
      </c>
      <c r="D5" s="549" t="s">
        <v>17</v>
      </c>
      <c r="E5" s="575" t="s">
        <v>18</v>
      </c>
    </row>
    <row r="6" spans="1:5">
      <c r="A6" t="s">
        <v>13</v>
      </c>
      <c r="B6" s="545"/>
      <c r="C6" s="576"/>
      <c r="D6" s="542">
        <f>SUM('2013 ERF - Rate Design'!J63+'2013 ERF - Rate Design'!J76)/D11/12</f>
        <v>826.52757400257394</v>
      </c>
      <c r="E6" s="588">
        <f>SUM('2013 ERF - Rate Design'!J111+'2013 ERF - Rate Design'!J127)/E11/12</f>
        <v>751.53588516746413</v>
      </c>
    </row>
    <row r="7" spans="1:5">
      <c r="A7" t="s">
        <v>4</v>
      </c>
      <c r="B7" s="545"/>
      <c r="C7" s="576"/>
      <c r="D7" s="543">
        <v>12</v>
      </c>
      <c r="E7" s="587">
        <v>12</v>
      </c>
    </row>
    <row r="8" spans="1:5">
      <c r="A8" t="s">
        <v>14</v>
      </c>
      <c r="B8" s="545"/>
      <c r="C8" s="576"/>
      <c r="D8" s="544">
        <f>D6*D7</f>
        <v>9918.3308880308869</v>
      </c>
      <c r="E8" s="589">
        <f>E6*E7</f>
        <v>9018.4306220095696</v>
      </c>
    </row>
    <row r="9" spans="1:5">
      <c r="B9" s="545"/>
      <c r="C9" s="576"/>
      <c r="D9" s="545"/>
      <c r="E9" s="576"/>
    </row>
    <row r="10" spans="1:5">
      <c r="A10" t="s">
        <v>19</v>
      </c>
      <c r="B10" s="577">
        <f>SUM('2013 ERF Margin Rate'!M12:N12)</f>
        <v>7471765.6400000006</v>
      </c>
      <c r="C10" s="578">
        <f>SUM('2013 ERF Margin Rate'!O12:O12)</f>
        <v>1310588.4800000002</v>
      </c>
      <c r="D10" s="590">
        <f>B10</f>
        <v>7471765.6400000006</v>
      </c>
      <c r="E10" s="591">
        <f>C10</f>
        <v>1310588.4800000002</v>
      </c>
    </row>
    <row r="11" spans="1:5">
      <c r="A11" t="s">
        <v>20</v>
      </c>
      <c r="B11" s="579">
        <f>'ERF Customer Counts'!N46</f>
        <v>129.5</v>
      </c>
      <c r="C11" s="580">
        <f>'ERF Customer Counts'!N47</f>
        <v>17.416666666666668</v>
      </c>
      <c r="D11" s="579">
        <f>B11</f>
        <v>129.5</v>
      </c>
      <c r="E11" s="580">
        <f>C11</f>
        <v>17.416666666666668</v>
      </c>
    </row>
    <row r="12" spans="1:5">
      <c r="A12" t="s">
        <v>21</v>
      </c>
      <c r="B12" s="550">
        <f>B10/B11</f>
        <v>57697.031969111973</v>
      </c>
      <c r="C12" s="581">
        <f>C10/C11</f>
        <v>75249.099330143552</v>
      </c>
      <c r="D12" s="550">
        <f>D10/D11</f>
        <v>57697.031969111973</v>
      </c>
      <c r="E12" s="581">
        <f>E10/E11</f>
        <v>75249.099330143552</v>
      </c>
    </row>
    <row r="13" spans="1:5">
      <c r="B13" s="545"/>
      <c r="C13" s="576"/>
      <c r="D13" s="545"/>
      <c r="E13" s="576"/>
    </row>
    <row r="14" spans="1:5" ht="16" thickBot="1">
      <c r="A14" s="490" t="s">
        <v>7</v>
      </c>
      <c r="B14" s="546">
        <f>B8+B12</f>
        <v>57697.031969111973</v>
      </c>
      <c r="C14" s="582">
        <f>C8+C12</f>
        <v>75249.099330143552</v>
      </c>
      <c r="D14" s="546">
        <f>D8+D12</f>
        <v>67615.362857142856</v>
      </c>
      <c r="E14" s="582">
        <f>E8+E12</f>
        <v>84267.529952153127</v>
      </c>
    </row>
    <row r="15" spans="1:5" ht="16" thickTop="1">
      <c r="B15" s="545"/>
      <c r="C15" s="576"/>
      <c r="D15" s="545"/>
      <c r="E15" s="576"/>
    </row>
    <row r="16" spans="1:5">
      <c r="A16" t="s">
        <v>8</v>
      </c>
      <c r="B16" s="547">
        <f>Return</f>
        <v>0.1077</v>
      </c>
      <c r="C16" s="583">
        <f>Return</f>
        <v>0.1077</v>
      </c>
      <c r="D16" s="547">
        <f>Return</f>
        <v>0.1077</v>
      </c>
      <c r="E16" s="583">
        <f>Return</f>
        <v>0.1077</v>
      </c>
    </row>
    <row r="17" spans="1:5">
      <c r="B17" s="545"/>
      <c r="C17" s="576"/>
      <c r="D17" s="545"/>
      <c r="E17" s="576"/>
    </row>
    <row r="18" spans="1:5" ht="16" thickBot="1">
      <c r="A18" s="489" t="s">
        <v>15</v>
      </c>
      <c r="B18" s="548">
        <f t="shared" ref="B18:C18" si="0">B14/B16</f>
        <v>535719.88829259027</v>
      </c>
      <c r="C18" s="584">
        <f t="shared" si="0"/>
        <v>698691.7300848983</v>
      </c>
      <c r="D18" s="548">
        <f>D14/D16</f>
        <v>627812.09709510545</v>
      </c>
      <c r="E18" s="584">
        <f>E14/E16</f>
        <v>782428.318961496</v>
      </c>
    </row>
    <row r="19" spans="1:5">
      <c r="A19" s="551"/>
      <c r="B19" s="585"/>
      <c r="C19" s="586"/>
      <c r="D19" s="552"/>
      <c r="E19" s="592"/>
    </row>
    <row r="20" spans="1:5">
      <c r="A20" t="s">
        <v>10</v>
      </c>
      <c r="B20" s="543">
        <f>SUM('2013 ERF Margin Rate'!M14:N14)/B11</f>
        <v>725188.32432432438</v>
      </c>
      <c r="C20" s="587">
        <f>SUM('2013 ERF Margin Rate'!O14:P14)/C11</f>
        <v>6565439.5406698557</v>
      </c>
      <c r="D20" s="543">
        <f>B20</f>
        <v>725188.32432432438</v>
      </c>
      <c r="E20" s="587">
        <f>C20</f>
        <v>6565439.5406698557</v>
      </c>
    </row>
    <row r="21" spans="1:5">
      <c r="B21" s="545"/>
      <c r="C21" s="576"/>
      <c r="D21" s="545"/>
      <c r="E21" s="576"/>
    </row>
    <row r="22" spans="1:5" ht="16" thickBot="1">
      <c r="A22" s="489" t="s">
        <v>11</v>
      </c>
      <c r="B22" s="548">
        <f>ROUND(B18/B20,2)</f>
        <v>0.74</v>
      </c>
      <c r="C22" s="584">
        <f>ROUND(C18/C20,2)</f>
        <v>0.11</v>
      </c>
      <c r="D22" s="548">
        <f>ROUND(D18/D20,2)</f>
        <v>0.87</v>
      </c>
      <c r="E22" s="584">
        <f>ROUND(E18/E20,2)</f>
        <v>0.12</v>
      </c>
    </row>
  </sheetData>
  <mergeCells count="2">
    <mergeCell ref="B4:C4"/>
    <mergeCell ref="D4:E4"/>
  </mergeCells>
  <pageMargins left="0.7" right="0.7" top="0.75" bottom="0.75" header="0.3" footer="0.3"/>
  <pageSetup orientation="landscape" horizontalDpi="0" verticalDpi="0"/>
  <headerFooter>
    <oddHeader xml:space="preserve">&amp;R&amp;"Times New Roman,Regular"&amp;12Exh. AEW-02&amp;"-,Regular"&amp;11
</oddHeader>
    <oddFooter xml:space="preserve">&amp;L&amp;"Times New Roman,Regular"&amp;12&amp;K000000Tab: &amp;A&amp;R&amp;"Times New Roman,Regular"&amp;12Page &amp;P of &amp;N </oddFooter>
  </headerFooter>
  <legacy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49"/>
  <sheetViews>
    <sheetView zoomScale="50" workbookViewId="0">
      <selection activeCell="I68" sqref="I68"/>
    </sheetView>
  </sheetViews>
  <sheetFormatPr baseColWidth="10" defaultColWidth="9.1640625" defaultRowHeight="13"/>
  <cols>
    <col min="1" max="1" width="3.6640625" style="315" customWidth="1"/>
    <col min="2" max="2" width="41" style="315" customWidth="1"/>
    <col min="3" max="15" width="13.6640625" style="315" customWidth="1"/>
    <col min="16" max="17" width="12.33203125" style="315" customWidth="1"/>
    <col min="18" max="16384" width="9.1640625" style="315"/>
  </cols>
  <sheetData>
    <row r="1" spans="1:20">
      <c r="A1" s="624" t="s">
        <v>22</v>
      </c>
      <c r="B1" s="624"/>
      <c r="C1" s="624"/>
      <c r="D1" s="624"/>
      <c r="E1" s="624"/>
      <c r="F1" s="624"/>
      <c r="G1" s="624"/>
      <c r="H1" s="624"/>
      <c r="I1" s="624"/>
      <c r="J1" s="624"/>
      <c r="K1" s="624"/>
      <c r="L1" s="624"/>
      <c r="M1" s="624"/>
      <c r="N1" s="624"/>
      <c r="O1" s="624"/>
    </row>
    <row r="2" spans="1:20">
      <c r="A2" s="624" t="s">
        <v>510</v>
      </c>
      <c r="B2" s="624"/>
      <c r="C2" s="624"/>
      <c r="D2" s="624"/>
      <c r="E2" s="624"/>
      <c r="F2" s="624"/>
      <c r="G2" s="624"/>
      <c r="H2" s="624"/>
      <c r="I2" s="624"/>
      <c r="J2" s="624"/>
      <c r="K2" s="624"/>
      <c r="L2" s="624"/>
      <c r="M2" s="624"/>
      <c r="N2" s="624"/>
      <c r="O2" s="624"/>
    </row>
    <row r="3" spans="1:20">
      <c r="A3" s="624" t="s">
        <v>511</v>
      </c>
      <c r="B3" s="624"/>
      <c r="C3" s="624"/>
      <c r="D3" s="624"/>
      <c r="E3" s="624"/>
      <c r="F3" s="624"/>
      <c r="G3" s="624"/>
      <c r="H3" s="624"/>
      <c r="I3" s="624"/>
      <c r="J3" s="624"/>
      <c r="K3" s="624"/>
      <c r="L3" s="624"/>
      <c r="M3" s="624"/>
      <c r="N3" s="624"/>
      <c r="O3" s="624"/>
    </row>
    <row r="4" spans="1:20">
      <c r="A4" s="624" t="s">
        <v>466</v>
      </c>
      <c r="B4" s="624"/>
      <c r="C4" s="624"/>
      <c r="D4" s="624"/>
      <c r="E4" s="624"/>
      <c r="F4" s="624"/>
      <c r="G4" s="624"/>
      <c r="H4" s="624"/>
      <c r="I4" s="624"/>
      <c r="J4" s="624"/>
      <c r="K4" s="624"/>
      <c r="L4" s="624"/>
      <c r="M4" s="624"/>
      <c r="N4" s="624"/>
      <c r="O4" s="624"/>
    </row>
    <row r="5" spans="1:20">
      <c r="A5" s="392"/>
      <c r="B5" s="392"/>
      <c r="C5" s="392"/>
      <c r="D5" s="392"/>
      <c r="E5" s="392"/>
      <c r="F5" s="392"/>
      <c r="G5" s="392"/>
      <c r="H5" s="392"/>
      <c r="I5" s="392"/>
      <c r="J5" s="392"/>
      <c r="K5" s="392"/>
      <c r="L5" s="392"/>
      <c r="M5" s="392"/>
      <c r="N5" s="392"/>
    </row>
    <row r="7" spans="1:20" ht="25.5" customHeight="1">
      <c r="A7" s="278"/>
      <c r="B7" s="435"/>
      <c r="C7" s="175">
        <v>42005</v>
      </c>
      <c r="D7" s="175">
        <f t="shared" ref="D7:N7" si="0">EDATE(C7,1)</f>
        <v>42036</v>
      </c>
      <c r="E7" s="175">
        <f t="shared" si="0"/>
        <v>42064</v>
      </c>
      <c r="F7" s="175">
        <f t="shared" si="0"/>
        <v>42095</v>
      </c>
      <c r="G7" s="175">
        <f t="shared" si="0"/>
        <v>42125</v>
      </c>
      <c r="H7" s="175">
        <f t="shared" si="0"/>
        <v>42156</v>
      </c>
      <c r="I7" s="175">
        <f t="shared" si="0"/>
        <v>42186</v>
      </c>
      <c r="J7" s="175">
        <f t="shared" si="0"/>
        <v>42217</v>
      </c>
      <c r="K7" s="175">
        <f t="shared" si="0"/>
        <v>42248</v>
      </c>
      <c r="L7" s="175">
        <f t="shared" si="0"/>
        <v>42278</v>
      </c>
      <c r="M7" s="175">
        <f t="shared" si="0"/>
        <v>42309</v>
      </c>
      <c r="N7" s="175">
        <f t="shared" si="0"/>
        <v>42339</v>
      </c>
      <c r="O7" s="175" t="s">
        <v>143</v>
      </c>
      <c r="P7" s="436"/>
      <c r="Q7" s="436"/>
      <c r="R7" s="437"/>
      <c r="S7" s="437"/>
      <c r="T7" s="437"/>
    </row>
    <row r="8" spans="1:20">
      <c r="A8" s="392"/>
      <c r="B8" s="438" t="s">
        <v>512</v>
      </c>
      <c r="C8" s="285"/>
      <c r="D8" s="285"/>
      <c r="E8" s="285"/>
      <c r="F8" s="285"/>
      <c r="G8" s="285"/>
      <c r="H8" s="285"/>
      <c r="I8" s="285"/>
      <c r="J8" s="285"/>
      <c r="K8" s="285"/>
      <c r="L8" s="285"/>
      <c r="M8" s="285"/>
      <c r="N8" s="285"/>
      <c r="O8" s="285"/>
    </row>
    <row r="9" spans="1:20">
      <c r="A9" s="392">
        <v>1</v>
      </c>
      <c r="B9" s="315" t="s">
        <v>513</v>
      </c>
      <c r="C9" s="476">
        <v>740245.53902084753</v>
      </c>
      <c r="D9" s="476">
        <v>742502.56058876717</v>
      </c>
      <c r="E9" s="476">
        <v>744307.03306122811</v>
      </c>
      <c r="F9" s="476">
        <v>745910.14301775175</v>
      </c>
      <c r="G9" s="476">
        <v>747106.85781488463</v>
      </c>
      <c r="H9" s="476">
        <v>748342.07846402808</v>
      </c>
      <c r="I9" s="476">
        <v>749182.43651813886</v>
      </c>
      <c r="J9" s="476">
        <v>750405.97306747455</v>
      </c>
      <c r="K9" s="476">
        <v>752249.85856130347</v>
      </c>
      <c r="L9" s="476">
        <v>755154.35568412137</v>
      </c>
      <c r="M9" s="476">
        <v>758080.67422090238</v>
      </c>
      <c r="N9" s="476">
        <v>760708.70837167185</v>
      </c>
      <c r="O9" s="280"/>
      <c r="P9" s="280"/>
      <c r="Q9" s="280"/>
    </row>
    <row r="10" spans="1:20">
      <c r="A10" s="392">
        <f t="shared" ref="A10:A47" si="1">A9+1</f>
        <v>2</v>
      </c>
      <c r="B10" s="315" t="s">
        <v>468</v>
      </c>
      <c r="C10" s="475">
        <v>46.938076378609985</v>
      </c>
      <c r="D10" s="475">
        <v>43.547770308204839</v>
      </c>
      <c r="E10" s="475">
        <v>36.974599651704466</v>
      </c>
      <c r="F10" s="475">
        <v>26.443890574681014</v>
      </c>
      <c r="G10" s="475">
        <v>16.554829042804023</v>
      </c>
      <c r="H10" s="475">
        <v>10.68851977679557</v>
      </c>
      <c r="I10" s="475">
        <v>8.4465640921268026</v>
      </c>
      <c r="J10" s="475">
        <v>7.8026495760240486</v>
      </c>
      <c r="K10" s="475">
        <v>10.809464435670218</v>
      </c>
      <c r="L10" s="475">
        <v>22.62617061067446</v>
      </c>
      <c r="M10" s="475">
        <v>38.095765326636844</v>
      </c>
      <c r="N10" s="475">
        <v>47.93170022606769</v>
      </c>
      <c r="O10" s="283"/>
      <c r="P10" s="283"/>
      <c r="Q10" s="283"/>
    </row>
    <row r="11" spans="1:20">
      <c r="A11" s="392">
        <f t="shared" si="1"/>
        <v>3</v>
      </c>
      <c r="B11" s="315" t="s">
        <v>469</v>
      </c>
      <c r="C11" s="285">
        <f t="shared" ref="C11:N11" si="2">C9*C10</f>
        <v>34745701.649485856</v>
      </c>
      <c r="D11" s="285">
        <f t="shared" si="2"/>
        <v>32334330.961773578</v>
      </c>
      <c r="E11" s="285">
        <f t="shared" si="2"/>
        <v>27520454.565386869</v>
      </c>
      <c r="F11" s="285">
        <f t="shared" si="2"/>
        <v>19724766.200506091</v>
      </c>
      <c r="G11" s="285">
        <f t="shared" si="2"/>
        <v>12368226.307831908</v>
      </c>
      <c r="H11" s="285">
        <f t="shared" si="2"/>
        <v>7998669.1054710662</v>
      </c>
      <c r="I11" s="285">
        <f t="shared" si="2"/>
        <v>6328017.4667461794</v>
      </c>
      <c r="J11" s="285">
        <f t="shared" si="2"/>
        <v>5855154.8476008438</v>
      </c>
      <c r="K11" s="285">
        <f t="shared" si="2"/>
        <v>8131418.0928563615</v>
      </c>
      <c r="L11" s="285">
        <f t="shared" si="2"/>
        <v>17086251.289102875</v>
      </c>
      <c r="M11" s="285">
        <f t="shared" si="2"/>
        <v>28879663.463778134</v>
      </c>
      <c r="N11" s="285">
        <f t="shared" si="2"/>
        <v>36462061.769030124</v>
      </c>
      <c r="O11" s="285">
        <f>SUM(C11:N11)</f>
        <v>237434715.71956989</v>
      </c>
      <c r="P11" s="441"/>
      <c r="Q11" s="441"/>
    </row>
    <row r="12" spans="1:20">
      <c r="A12" s="392">
        <f t="shared" si="1"/>
        <v>4</v>
      </c>
      <c r="P12" s="433"/>
      <c r="Q12" s="433"/>
    </row>
    <row r="13" spans="1:20">
      <c r="A13" s="392">
        <f t="shared" si="1"/>
        <v>5</v>
      </c>
      <c r="B13" s="315" t="s">
        <v>514</v>
      </c>
      <c r="C13" s="476">
        <v>96670195</v>
      </c>
      <c r="D13" s="476">
        <v>88056252</v>
      </c>
      <c r="E13" s="476">
        <v>75946512</v>
      </c>
      <c r="F13" s="476">
        <v>56913273</v>
      </c>
      <c r="G13" s="476">
        <v>39896294</v>
      </c>
      <c r="H13" s="476">
        <v>26147076</v>
      </c>
      <c r="I13" s="476">
        <v>17673860</v>
      </c>
      <c r="J13" s="476">
        <v>13874146</v>
      </c>
      <c r="K13" s="476">
        <v>16254155</v>
      </c>
      <c r="L13" s="476">
        <v>27819191</v>
      </c>
      <c r="M13" s="476">
        <v>57014691</v>
      </c>
      <c r="N13" s="476">
        <v>86753343</v>
      </c>
      <c r="O13" s="439">
        <f>SUM(C13:N13)</f>
        <v>603018988</v>
      </c>
      <c r="P13" s="280"/>
      <c r="Q13" s="280"/>
    </row>
    <row r="14" spans="1:20">
      <c r="A14" s="392">
        <f t="shared" si="1"/>
        <v>6</v>
      </c>
      <c r="B14" s="315" t="s">
        <v>515</v>
      </c>
      <c r="C14" s="478">
        <v>0.40126000000000001</v>
      </c>
      <c r="D14" s="478">
        <v>0.40126000000000001</v>
      </c>
      <c r="E14" s="478">
        <v>0.40126000000000001</v>
      </c>
      <c r="F14" s="478">
        <v>0.40126000000000001</v>
      </c>
      <c r="G14" s="478">
        <v>0.39349000000000001</v>
      </c>
      <c r="H14" s="478">
        <v>0.39349000000000001</v>
      </c>
      <c r="I14" s="478">
        <v>0.39349000000000001</v>
      </c>
      <c r="J14" s="478">
        <v>0.39349000000000001</v>
      </c>
      <c r="K14" s="478">
        <v>0.39349000000000001</v>
      </c>
      <c r="L14" s="478">
        <v>0.39349000000000001</v>
      </c>
      <c r="M14" s="478">
        <v>0.39349000000000001</v>
      </c>
      <c r="N14" s="478">
        <v>0.39349000000000001</v>
      </c>
      <c r="O14" s="286"/>
      <c r="P14" s="442"/>
      <c r="Q14" s="442"/>
    </row>
    <row r="15" spans="1:20">
      <c r="A15" s="392">
        <f t="shared" si="1"/>
        <v>7</v>
      </c>
      <c r="B15" s="315" t="s">
        <v>472</v>
      </c>
      <c r="C15" s="285">
        <f t="shared" ref="C15:N15" si="3">C13*C14</f>
        <v>38789882.445699997</v>
      </c>
      <c r="D15" s="285">
        <f t="shared" si="3"/>
        <v>35333451.677519999</v>
      </c>
      <c r="E15" s="285">
        <f t="shared" si="3"/>
        <v>30474297.40512</v>
      </c>
      <c r="F15" s="285">
        <f t="shared" si="3"/>
        <v>22837019.923980001</v>
      </c>
      <c r="G15" s="285">
        <f t="shared" si="3"/>
        <v>15698792.726060001</v>
      </c>
      <c r="H15" s="285">
        <f t="shared" si="3"/>
        <v>10288612.93524</v>
      </c>
      <c r="I15" s="285">
        <f t="shared" si="3"/>
        <v>6954487.1714000003</v>
      </c>
      <c r="J15" s="285">
        <f t="shared" si="3"/>
        <v>5459337.7095400002</v>
      </c>
      <c r="K15" s="285">
        <f t="shared" si="3"/>
        <v>6395847.4509500004</v>
      </c>
      <c r="L15" s="285">
        <f t="shared" si="3"/>
        <v>10946573.46659</v>
      </c>
      <c r="M15" s="285">
        <f t="shared" si="3"/>
        <v>22434710.76159</v>
      </c>
      <c r="N15" s="285">
        <f t="shared" si="3"/>
        <v>34136572.937069997</v>
      </c>
      <c r="O15" s="285">
        <f>SUM(C15:N15)</f>
        <v>239749586.61075997</v>
      </c>
      <c r="P15" s="441"/>
      <c r="Q15" s="441"/>
    </row>
    <row r="16" spans="1:20">
      <c r="A16" s="392">
        <f t="shared" si="1"/>
        <v>8</v>
      </c>
      <c r="O16" s="285"/>
    </row>
    <row r="17" spans="1:17">
      <c r="A17" s="392">
        <f t="shared" si="1"/>
        <v>9</v>
      </c>
      <c r="B17" s="315" t="s">
        <v>253</v>
      </c>
      <c r="C17" s="285">
        <f t="shared" ref="C17:N17" si="4">C11-C15</f>
        <v>-4044180.796214141</v>
      </c>
      <c r="D17" s="285">
        <f t="shared" si="4"/>
        <v>-2999120.7157464214</v>
      </c>
      <c r="E17" s="285">
        <f t="shared" si="4"/>
        <v>-2953842.8397331312</v>
      </c>
      <c r="F17" s="285">
        <f t="shared" si="4"/>
        <v>-3112253.7234739102</v>
      </c>
      <c r="G17" s="285">
        <f t="shared" si="4"/>
        <v>-3330566.4182280935</v>
      </c>
      <c r="H17" s="285">
        <f t="shared" si="4"/>
        <v>-2289943.8297689343</v>
      </c>
      <c r="I17" s="285">
        <f t="shared" si="4"/>
        <v>-626469.70465382095</v>
      </c>
      <c r="J17" s="285">
        <f t="shared" si="4"/>
        <v>395817.13806084357</v>
      </c>
      <c r="K17" s="285">
        <f t="shared" si="4"/>
        <v>1735570.6419063611</v>
      </c>
      <c r="L17" s="285">
        <f t="shared" si="4"/>
        <v>6139677.8225128744</v>
      </c>
      <c r="M17" s="285">
        <f t="shared" si="4"/>
        <v>6444952.7021881342</v>
      </c>
      <c r="N17" s="285">
        <f t="shared" si="4"/>
        <v>2325488.8319601268</v>
      </c>
      <c r="O17" s="285">
        <f>SUM(C17:N17)</f>
        <v>-2314870.8911901135</v>
      </c>
      <c r="P17" s="441"/>
      <c r="Q17" s="441"/>
    </row>
    <row r="18" spans="1:17">
      <c r="A18" s="392">
        <f t="shared" si="1"/>
        <v>10</v>
      </c>
      <c r="C18" s="285"/>
      <c r="D18" s="285"/>
      <c r="E18" s="285"/>
      <c r="F18" s="285"/>
      <c r="G18" s="285"/>
      <c r="H18" s="285"/>
      <c r="I18" s="285"/>
      <c r="J18" s="285"/>
      <c r="K18" s="285"/>
      <c r="L18" s="285"/>
      <c r="M18" s="285"/>
      <c r="N18" s="285"/>
      <c r="O18" s="285"/>
      <c r="P18" s="441"/>
      <c r="Q18" s="441"/>
    </row>
    <row r="19" spans="1:17">
      <c r="A19" s="392">
        <f t="shared" si="1"/>
        <v>11</v>
      </c>
      <c r="P19" s="441"/>
      <c r="Q19" s="441"/>
    </row>
    <row r="20" spans="1:17">
      <c r="A20" s="392">
        <f t="shared" si="1"/>
        <v>12</v>
      </c>
      <c r="B20" s="438" t="s">
        <v>198</v>
      </c>
      <c r="C20" s="392"/>
      <c r="D20" s="392"/>
      <c r="E20" s="392"/>
      <c r="F20" s="392"/>
      <c r="G20" s="392"/>
      <c r="H20" s="392"/>
      <c r="I20" s="392"/>
      <c r="J20" s="392"/>
      <c r="K20" s="392"/>
      <c r="L20" s="392"/>
      <c r="M20" s="392"/>
      <c r="N20" s="392"/>
      <c r="P20" s="441"/>
      <c r="Q20" s="441"/>
    </row>
    <row r="21" spans="1:17">
      <c r="A21" s="392">
        <f t="shared" si="1"/>
        <v>13</v>
      </c>
      <c r="B21" s="315" t="s">
        <v>467</v>
      </c>
      <c r="C21" s="477">
        <f>'Res Deferral Calc 2015'!C9</f>
        <v>734851</v>
      </c>
      <c r="D21" s="477">
        <f>'Res Deferral Calc 2015'!D9</f>
        <v>735897</v>
      </c>
      <c r="E21" s="477">
        <f>'Res Deferral Calc 2015'!E9</f>
        <v>736498</v>
      </c>
      <c r="F21" s="477">
        <f>'Res Deferral Calc 2015'!F9</f>
        <v>736746</v>
      </c>
      <c r="G21" s="477">
        <f>'Res Deferral Calc 2015'!G9</f>
        <v>736564</v>
      </c>
      <c r="H21" s="477">
        <f>'Res Deferral Calc 2015'!H9</f>
        <v>736636</v>
      </c>
      <c r="I21" s="477">
        <f>'Res Deferral Calc 2015'!I9</f>
        <v>736444</v>
      </c>
      <c r="J21" s="477">
        <f>'Res Deferral Calc 2015'!J9</f>
        <v>736388</v>
      </c>
      <c r="K21" s="477">
        <f>'Res Deferral Calc 2015'!K9</f>
        <v>736870</v>
      </c>
      <c r="L21" s="477">
        <f>'Res Deferral Calc 2015'!L9</f>
        <v>738347</v>
      </c>
      <c r="M21" s="477">
        <f>'Res Deferral Calc 2015'!M9</f>
        <v>740333</v>
      </c>
      <c r="N21" s="477">
        <f>'Res Deferral Calc 2015'!N9</f>
        <v>742494</v>
      </c>
      <c r="O21" s="280"/>
      <c r="P21" s="441"/>
      <c r="Q21" s="441"/>
    </row>
    <row r="22" spans="1:17">
      <c r="A22" s="392">
        <f t="shared" si="1"/>
        <v>14</v>
      </c>
      <c r="B22" s="315" t="s">
        <v>468</v>
      </c>
      <c r="C22" s="313">
        <f>'Res Deferral Calc 2015'!C10</f>
        <v>46.938076378609985</v>
      </c>
      <c r="D22" s="313">
        <f>'Res Deferral Calc 2015'!D10</f>
        <v>43.547770308204839</v>
      </c>
      <c r="E22" s="313">
        <f>'Res Deferral Calc 2015'!E10</f>
        <v>36.974599651704466</v>
      </c>
      <c r="F22" s="313">
        <f>'Res Deferral Calc 2015'!F10</f>
        <v>26.443890574681014</v>
      </c>
      <c r="G22" s="313">
        <f>'Res Deferral Calc 2015'!G10</f>
        <v>16.554829042804023</v>
      </c>
      <c r="H22" s="313">
        <f>'Res Deferral Calc 2015'!H10</f>
        <v>10.68851977679557</v>
      </c>
      <c r="I22" s="313">
        <f>'Res Deferral Calc 2015'!I10</f>
        <v>8.4465640921268026</v>
      </c>
      <c r="J22" s="313">
        <f>'Res Deferral Calc 2015'!J10</f>
        <v>7.8026495760240486</v>
      </c>
      <c r="K22" s="313">
        <f>'Res Deferral Calc 2015'!K10</f>
        <v>10.809464435670218</v>
      </c>
      <c r="L22" s="313">
        <f>'Res Deferral Calc 2015'!L10</f>
        <v>22.62617061067446</v>
      </c>
      <c r="M22" s="313">
        <f>'Res Deferral Calc 2015'!M10</f>
        <v>38.095765326636844</v>
      </c>
      <c r="N22" s="313">
        <f>'Res Deferral Calc 2015'!N10</f>
        <v>47.93170022606769</v>
      </c>
      <c r="O22" s="283"/>
      <c r="P22" s="441"/>
      <c r="Q22" s="441"/>
    </row>
    <row r="23" spans="1:17">
      <c r="A23" s="392">
        <f t="shared" si="1"/>
        <v>15</v>
      </c>
      <c r="B23" s="315" t="s">
        <v>469</v>
      </c>
      <c r="C23" s="285">
        <f t="shared" ref="C23:N23" si="5">C21*C22</f>
        <v>34492492.364897929</v>
      </c>
      <c r="D23" s="285">
        <f t="shared" si="5"/>
        <v>32046673.526497018</v>
      </c>
      <c r="E23" s="285">
        <f t="shared" si="5"/>
        <v>27231718.694281034</v>
      </c>
      <c r="F23" s="285">
        <f t="shared" si="5"/>
        <v>19482430.605333939</v>
      </c>
      <c r="G23" s="285">
        <f t="shared" si="5"/>
        <v>12193691.099083902</v>
      </c>
      <c r="H23" s="285">
        <f t="shared" si="5"/>
        <v>7873548.4542995812</v>
      </c>
      <c r="I23" s="285">
        <f t="shared" si="5"/>
        <v>6220421.4462622311</v>
      </c>
      <c r="J23" s="285">
        <f t="shared" si="5"/>
        <v>5745777.5159891974</v>
      </c>
      <c r="K23" s="285">
        <f t="shared" si="5"/>
        <v>7965170.0587123139</v>
      </c>
      <c r="L23" s="285">
        <f t="shared" si="5"/>
        <v>16705965.191879656</v>
      </c>
      <c r="M23" s="285">
        <f t="shared" si="5"/>
        <v>28203552.231565036</v>
      </c>
      <c r="N23" s="285">
        <f t="shared" si="5"/>
        <v>35588999.8276539</v>
      </c>
      <c r="O23" s="285">
        <f>SUM(C23:N23)</f>
        <v>233750441.01645571</v>
      </c>
    </row>
    <row r="24" spans="1:17">
      <c r="A24" s="392">
        <f t="shared" si="1"/>
        <v>16</v>
      </c>
      <c r="P24" s="440"/>
      <c r="Q24" s="440"/>
    </row>
    <row r="25" spans="1:17">
      <c r="A25" s="392">
        <f t="shared" si="1"/>
        <v>17</v>
      </c>
      <c r="B25" s="315" t="s">
        <v>470</v>
      </c>
      <c r="C25" s="477">
        <f>'Res Deferral Calc 2015'!C13</f>
        <v>74478473</v>
      </c>
      <c r="D25" s="477">
        <f>'Res Deferral Calc 2015'!D13</f>
        <v>55257321</v>
      </c>
      <c r="E25" s="477">
        <f>'Res Deferral Calc 2015'!E13</f>
        <v>51807027</v>
      </c>
      <c r="F25" s="477">
        <f>'Res Deferral Calc 2015'!F13</f>
        <v>43522390</v>
      </c>
      <c r="G25" s="477">
        <f>'Res Deferral Calc 2015'!G13</f>
        <v>24650330</v>
      </c>
      <c r="H25" s="477">
        <f>'Res Deferral Calc 2015'!H13</f>
        <v>13687478</v>
      </c>
      <c r="I25" s="477">
        <f>'Res Deferral Calc 2015'!I13</f>
        <v>11398295</v>
      </c>
      <c r="J25" s="477">
        <f>'Res Deferral Calc 2015'!J13</f>
        <v>12213712</v>
      </c>
      <c r="K25" s="477">
        <f>'Res Deferral Calc 2015'!K13</f>
        <v>18333522</v>
      </c>
      <c r="L25" s="477">
        <f>'Res Deferral Calc 2015'!L13</f>
        <v>29331397</v>
      </c>
      <c r="M25" s="477">
        <f>'Res Deferral Calc 2015'!M13</f>
        <v>72489377</v>
      </c>
      <c r="N25" s="477">
        <f>'Res Deferral Calc 2015'!N13</f>
        <v>86951649</v>
      </c>
      <c r="O25" s="439">
        <f>SUM(C25:N25)</f>
        <v>494120971</v>
      </c>
    </row>
    <row r="26" spans="1:17">
      <c r="A26" s="392">
        <f t="shared" si="1"/>
        <v>18</v>
      </c>
      <c r="B26" s="315" t="s">
        <v>516</v>
      </c>
      <c r="C26" s="363">
        <f>'Res Deferral Calc 2015'!C14</f>
        <v>0.36997999999999998</v>
      </c>
      <c r="D26" s="363">
        <f>'Res Deferral Calc 2015'!D14</f>
        <v>0.36997999999999998</v>
      </c>
      <c r="E26" s="363">
        <f>'Res Deferral Calc 2015'!E14</f>
        <v>0.36997999999999998</v>
      </c>
      <c r="F26" s="363">
        <f>'Res Deferral Calc 2015'!F14</f>
        <v>0.36997999999999998</v>
      </c>
      <c r="G26" s="363">
        <f>'Res Deferral Calc 2015'!G14</f>
        <v>0.38278000000000001</v>
      </c>
      <c r="H26" s="363">
        <f>'Res Deferral Calc 2015'!H14</f>
        <v>0.38278000000000001</v>
      </c>
      <c r="I26" s="363">
        <f>'Res Deferral Calc 2015'!I14</f>
        <v>0.38278000000000001</v>
      </c>
      <c r="J26" s="363">
        <f>'Res Deferral Calc 2015'!J14</f>
        <v>0.38278000000000001</v>
      </c>
      <c r="K26" s="363">
        <f>'Res Deferral Calc 2015'!K14</f>
        <v>0.38278000000000001</v>
      </c>
      <c r="L26" s="363">
        <f>'Res Deferral Calc 2015'!L14</f>
        <v>0.38278000000000001</v>
      </c>
      <c r="M26" s="363">
        <f>'Res Deferral Calc 2015'!M14</f>
        <v>0.38278000000000001</v>
      </c>
      <c r="N26" s="363">
        <f>'Res Deferral Calc 2015'!N14</f>
        <v>0.38278000000000001</v>
      </c>
      <c r="O26" s="286"/>
    </row>
    <row r="27" spans="1:17">
      <c r="A27" s="392">
        <f t="shared" si="1"/>
        <v>19</v>
      </c>
      <c r="B27" s="315" t="s">
        <v>472</v>
      </c>
      <c r="C27" s="285">
        <f t="shared" ref="C27:N27" si="6">C25*C26</f>
        <v>27555545.440539997</v>
      </c>
      <c r="D27" s="285">
        <f t="shared" si="6"/>
        <v>20444103.623579998</v>
      </c>
      <c r="E27" s="285">
        <f t="shared" si="6"/>
        <v>19167563.849459998</v>
      </c>
      <c r="F27" s="285">
        <f t="shared" si="6"/>
        <v>16102413.8522</v>
      </c>
      <c r="G27" s="285">
        <f t="shared" si="6"/>
        <v>9435653.317400001</v>
      </c>
      <c r="H27" s="285">
        <f t="shared" si="6"/>
        <v>5239292.8288400006</v>
      </c>
      <c r="I27" s="285">
        <f t="shared" si="6"/>
        <v>4363039.3601000002</v>
      </c>
      <c r="J27" s="285">
        <f t="shared" si="6"/>
        <v>4675164.6793600004</v>
      </c>
      <c r="K27" s="285">
        <f t="shared" si="6"/>
        <v>7017705.5511600003</v>
      </c>
      <c r="L27" s="285">
        <f t="shared" si="6"/>
        <v>11227472.14366</v>
      </c>
      <c r="M27" s="285">
        <f t="shared" si="6"/>
        <v>27747483.72806</v>
      </c>
      <c r="N27" s="285">
        <f t="shared" si="6"/>
        <v>33283352.204220001</v>
      </c>
      <c r="O27" s="285">
        <f>SUM(C27:N27)</f>
        <v>186258790.57857999</v>
      </c>
    </row>
    <row r="28" spans="1:17">
      <c r="A28" s="392">
        <f t="shared" si="1"/>
        <v>20</v>
      </c>
      <c r="O28" s="285"/>
    </row>
    <row r="29" spans="1:17">
      <c r="A29" s="392">
        <f t="shared" si="1"/>
        <v>21</v>
      </c>
      <c r="B29" s="315" t="s">
        <v>473</v>
      </c>
      <c r="C29" s="477">
        <f>'Res Deferral Calc 2015'!C17</f>
        <v>0</v>
      </c>
      <c r="D29" s="477">
        <f>'Res Deferral Calc 2015'!D17</f>
        <v>0</v>
      </c>
      <c r="E29" s="477">
        <f>'Res Deferral Calc 2015'!E17</f>
        <v>0</v>
      </c>
      <c r="F29" s="477">
        <f>'Res Deferral Calc 2015'!F17</f>
        <v>0</v>
      </c>
      <c r="G29" s="477">
        <f>'Res Deferral Calc 2015'!G17</f>
        <v>-1483877</v>
      </c>
      <c r="H29" s="477">
        <f>'Res Deferral Calc 2015'!H17</f>
        <v>292196</v>
      </c>
      <c r="I29" s="477">
        <f>'Res Deferral Calc 2015'!I17</f>
        <v>57195</v>
      </c>
      <c r="J29" s="477">
        <f>'Res Deferral Calc 2015'!J17</f>
        <v>0</v>
      </c>
      <c r="K29" s="477">
        <f>'Res Deferral Calc 2015'!K17</f>
        <v>0</v>
      </c>
      <c r="L29" s="477">
        <f>'Res Deferral Calc 2015'!L17</f>
        <v>0</v>
      </c>
      <c r="M29" s="477">
        <f>'Res Deferral Calc 2015'!M17</f>
        <v>0</v>
      </c>
      <c r="N29" s="477">
        <f>'Res Deferral Calc 2015'!N17</f>
        <v>0</v>
      </c>
      <c r="O29" s="285">
        <f>SUM(C29:N29)</f>
        <v>-1134486</v>
      </c>
    </row>
    <row r="30" spans="1:17">
      <c r="A30" s="392">
        <f t="shared" si="1"/>
        <v>22</v>
      </c>
      <c r="B30" s="315" t="s">
        <v>516</v>
      </c>
      <c r="C30" s="363">
        <f>'Res Deferral Calc 2015'!C18</f>
        <v>0</v>
      </c>
      <c r="D30" s="363">
        <f>'Res Deferral Calc 2015'!D18</f>
        <v>0</v>
      </c>
      <c r="E30" s="363">
        <f>'Res Deferral Calc 2015'!E18</f>
        <v>0</v>
      </c>
      <c r="F30" s="363">
        <f>'Res Deferral Calc 2015'!F18</f>
        <v>0</v>
      </c>
      <c r="G30" s="363">
        <f>'Res Deferral Calc 2015'!G18</f>
        <v>0.36997999999999998</v>
      </c>
      <c r="H30" s="363">
        <f>'Res Deferral Calc 2015'!H18</f>
        <v>0.36997999999999998</v>
      </c>
      <c r="I30" s="363">
        <f>'Res Deferral Calc 2015'!I18</f>
        <v>0.36997999999999998</v>
      </c>
      <c r="J30" s="363">
        <f>'Res Deferral Calc 2015'!J18</f>
        <v>0</v>
      </c>
      <c r="K30" s="363">
        <f>'Res Deferral Calc 2015'!K18</f>
        <v>0</v>
      </c>
      <c r="L30" s="363">
        <f>'Res Deferral Calc 2015'!L18</f>
        <v>0</v>
      </c>
      <c r="M30" s="363">
        <f>'Res Deferral Calc 2015'!M18</f>
        <v>0</v>
      </c>
      <c r="N30" s="363">
        <f>'Res Deferral Calc 2015'!N18</f>
        <v>0</v>
      </c>
      <c r="O30" s="286"/>
    </row>
    <row r="31" spans="1:17">
      <c r="A31" s="392">
        <f t="shared" si="1"/>
        <v>23</v>
      </c>
      <c r="B31" s="315" t="s">
        <v>472</v>
      </c>
      <c r="C31" s="285">
        <f t="shared" ref="C31:N31" si="7">C29*C30</f>
        <v>0</v>
      </c>
      <c r="D31" s="285">
        <f t="shared" si="7"/>
        <v>0</v>
      </c>
      <c r="E31" s="285">
        <f t="shared" si="7"/>
        <v>0</v>
      </c>
      <c r="F31" s="285">
        <f t="shared" si="7"/>
        <v>0</v>
      </c>
      <c r="G31" s="285">
        <f t="shared" si="7"/>
        <v>-549004.81245999993</v>
      </c>
      <c r="H31" s="285">
        <f t="shared" si="7"/>
        <v>108106.67607999999</v>
      </c>
      <c r="I31" s="285">
        <f t="shared" si="7"/>
        <v>21161.006099999999</v>
      </c>
      <c r="J31" s="285">
        <f t="shared" si="7"/>
        <v>0</v>
      </c>
      <c r="K31" s="285">
        <f t="shared" si="7"/>
        <v>0</v>
      </c>
      <c r="L31" s="285">
        <f t="shared" si="7"/>
        <v>0</v>
      </c>
      <c r="M31" s="285">
        <f t="shared" si="7"/>
        <v>0</v>
      </c>
      <c r="N31" s="285">
        <f t="shared" si="7"/>
        <v>0</v>
      </c>
      <c r="O31" s="285">
        <f>SUM(C31:N31)</f>
        <v>-419737.13027999992</v>
      </c>
    </row>
    <row r="32" spans="1:17">
      <c r="A32" s="392">
        <f t="shared" si="1"/>
        <v>24</v>
      </c>
      <c r="G32" s="285"/>
      <c r="H32" s="285"/>
      <c r="I32" s="285"/>
      <c r="J32" s="285"/>
      <c r="K32" s="285"/>
      <c r="L32" s="285"/>
      <c r="M32" s="285"/>
      <c r="N32" s="285"/>
      <c r="O32" s="285"/>
    </row>
    <row r="33" spans="1:15">
      <c r="A33" s="392">
        <f t="shared" si="1"/>
        <v>25</v>
      </c>
      <c r="B33" s="315" t="s">
        <v>474</v>
      </c>
      <c r="C33" s="285">
        <f>C27+C31</f>
        <v>27555545.440539997</v>
      </c>
      <c r="D33" s="285">
        <f t="shared" ref="D33:N33" si="8">D27+D31</f>
        <v>20444103.623579998</v>
      </c>
      <c r="E33" s="285">
        <f t="shared" si="8"/>
        <v>19167563.849459998</v>
      </c>
      <c r="F33" s="285">
        <f t="shared" si="8"/>
        <v>16102413.8522</v>
      </c>
      <c r="G33" s="285">
        <f t="shared" si="8"/>
        <v>8886648.5049400013</v>
      </c>
      <c r="H33" s="285">
        <f t="shared" si="8"/>
        <v>5347399.5049200002</v>
      </c>
      <c r="I33" s="285">
        <f t="shared" si="8"/>
        <v>4384200.3662</v>
      </c>
      <c r="J33" s="285">
        <f t="shared" si="8"/>
        <v>4675164.6793600004</v>
      </c>
      <c r="K33" s="285">
        <f t="shared" si="8"/>
        <v>7017705.5511600003</v>
      </c>
      <c r="L33" s="285">
        <f t="shared" si="8"/>
        <v>11227472.14366</v>
      </c>
      <c r="M33" s="285">
        <f t="shared" si="8"/>
        <v>27747483.72806</v>
      </c>
      <c r="N33" s="285">
        <f t="shared" si="8"/>
        <v>33283352.204220001</v>
      </c>
      <c r="O33" s="285">
        <f>SUM(C33:N33)</f>
        <v>185839053.4483</v>
      </c>
    </row>
    <row r="34" spans="1:15">
      <c r="A34" s="392">
        <f t="shared" si="1"/>
        <v>26</v>
      </c>
      <c r="O34" s="285"/>
    </row>
    <row r="35" spans="1:15">
      <c r="A35" s="392">
        <f t="shared" si="1"/>
        <v>27</v>
      </c>
      <c r="B35" s="315" t="s">
        <v>253</v>
      </c>
      <c r="C35" s="285">
        <f>C23-C33</f>
        <v>6936946.9243579321</v>
      </c>
      <c r="D35" s="285">
        <f t="shared" ref="D35:N35" si="9">D23-D33</f>
        <v>11602569.90291702</v>
      </c>
      <c r="E35" s="285">
        <f t="shared" si="9"/>
        <v>8064154.8448210359</v>
      </c>
      <c r="F35" s="285">
        <f t="shared" si="9"/>
        <v>3380016.7531339396</v>
      </c>
      <c r="G35" s="285">
        <f t="shared" si="9"/>
        <v>3307042.594143901</v>
      </c>
      <c r="H35" s="285">
        <f t="shared" si="9"/>
        <v>2526148.949379581</v>
      </c>
      <c r="I35" s="285">
        <f t="shared" si="9"/>
        <v>1836221.080062231</v>
      </c>
      <c r="J35" s="285">
        <f t="shared" si="9"/>
        <v>1070612.836629197</v>
      </c>
      <c r="K35" s="285">
        <f t="shared" si="9"/>
        <v>947464.50755231362</v>
      </c>
      <c r="L35" s="285">
        <f t="shared" si="9"/>
        <v>5478493.0482196566</v>
      </c>
      <c r="M35" s="285">
        <f t="shared" si="9"/>
        <v>456068.50350503623</v>
      </c>
      <c r="N35" s="285">
        <f t="shared" si="9"/>
        <v>2305647.6234338991</v>
      </c>
      <c r="O35" s="285">
        <f>SUM(C35:N35)</f>
        <v>47911387.568155751</v>
      </c>
    </row>
    <row r="36" spans="1:15">
      <c r="A36" s="392">
        <f t="shared" si="1"/>
        <v>28</v>
      </c>
    </row>
    <row r="37" spans="1:15">
      <c r="A37" s="392">
        <f t="shared" si="1"/>
        <v>29</v>
      </c>
      <c r="C37" s="285"/>
      <c r="D37" s="285"/>
      <c r="E37" s="285"/>
      <c r="F37" s="285"/>
      <c r="G37" s="285"/>
      <c r="H37" s="285"/>
      <c r="I37" s="285"/>
      <c r="J37" s="285"/>
      <c r="K37" s="285"/>
      <c r="L37" s="285"/>
      <c r="M37" s="285"/>
      <c r="N37" s="285"/>
      <c r="O37" s="285"/>
    </row>
    <row r="38" spans="1:15">
      <c r="A38" s="392">
        <f t="shared" si="1"/>
        <v>30</v>
      </c>
      <c r="B38" s="438" t="s">
        <v>131</v>
      </c>
      <c r="C38" s="285"/>
      <c r="D38" s="285"/>
      <c r="E38" s="285"/>
      <c r="F38" s="285"/>
      <c r="G38" s="285"/>
      <c r="H38" s="285"/>
      <c r="I38" s="285"/>
      <c r="J38" s="285"/>
      <c r="K38" s="285"/>
      <c r="L38" s="285"/>
      <c r="M38" s="285"/>
      <c r="N38" s="285"/>
      <c r="O38" s="285"/>
    </row>
    <row r="39" spans="1:15">
      <c r="A39" s="392">
        <f t="shared" si="1"/>
        <v>31</v>
      </c>
      <c r="B39" s="315" t="s">
        <v>517</v>
      </c>
      <c r="C39" s="439">
        <f>C21-C9</f>
        <v>-5394.5390208475292</v>
      </c>
      <c r="D39" s="439">
        <f t="shared" ref="D39:H39" si="10">D21-D9</f>
        <v>-6605.56058876717</v>
      </c>
      <c r="E39" s="439">
        <f t="shared" si="10"/>
        <v>-7809.0330612281105</v>
      </c>
      <c r="F39" s="439">
        <f t="shared" si="10"/>
        <v>-9164.1430177517468</v>
      </c>
      <c r="G39" s="439">
        <f t="shared" si="10"/>
        <v>-10542.857814884628</v>
      </c>
      <c r="H39" s="439">
        <f t="shared" si="10"/>
        <v>-11706.078464028076</v>
      </c>
      <c r="I39" s="439">
        <f>I21-I9</f>
        <v>-12738.436518138857</v>
      </c>
      <c r="J39" s="439">
        <f t="shared" ref="J39:N39" si="11">J21-J9</f>
        <v>-14017.973067474551</v>
      </c>
      <c r="K39" s="439">
        <f t="shared" si="11"/>
        <v>-15379.858561303467</v>
      </c>
      <c r="L39" s="439">
        <f t="shared" si="11"/>
        <v>-16807.355684121372</v>
      </c>
      <c r="M39" s="439">
        <f t="shared" si="11"/>
        <v>-17747.67422090238</v>
      </c>
      <c r="N39" s="439">
        <f t="shared" si="11"/>
        <v>-18214.708371671848</v>
      </c>
      <c r="O39" s="280"/>
    </row>
    <row r="40" spans="1:15">
      <c r="A40" s="392">
        <f t="shared" si="1"/>
        <v>32</v>
      </c>
      <c r="B40" s="315" t="s">
        <v>468</v>
      </c>
      <c r="C40" s="440">
        <f>C10-C22</f>
        <v>0</v>
      </c>
      <c r="D40" s="440">
        <f t="shared" ref="D40:N40" si="12">D10-D22</f>
        <v>0</v>
      </c>
      <c r="E40" s="440">
        <f t="shared" si="12"/>
        <v>0</v>
      </c>
      <c r="F40" s="440">
        <f t="shared" si="12"/>
        <v>0</v>
      </c>
      <c r="G40" s="440">
        <f t="shared" si="12"/>
        <v>0</v>
      </c>
      <c r="H40" s="440">
        <f t="shared" si="12"/>
        <v>0</v>
      </c>
      <c r="I40" s="440">
        <f t="shared" si="12"/>
        <v>0</v>
      </c>
      <c r="J40" s="440">
        <f t="shared" si="12"/>
        <v>0</v>
      </c>
      <c r="K40" s="440">
        <f t="shared" si="12"/>
        <v>0</v>
      </c>
      <c r="L40" s="440">
        <f t="shared" si="12"/>
        <v>0</v>
      </c>
      <c r="M40" s="440">
        <f t="shared" si="12"/>
        <v>0</v>
      </c>
      <c r="N40" s="440">
        <f t="shared" si="12"/>
        <v>0</v>
      </c>
      <c r="O40" s="283"/>
    </row>
    <row r="41" spans="1:15">
      <c r="A41" s="392">
        <f t="shared" si="1"/>
        <v>33</v>
      </c>
      <c r="B41" s="315" t="s">
        <v>469</v>
      </c>
      <c r="C41" s="285">
        <f>C23-C11</f>
        <v>-253209.28458792716</v>
      </c>
      <c r="D41" s="285">
        <f t="shared" ref="D41:N41" si="13">D23-D11</f>
        <v>-287657.43527656049</v>
      </c>
      <c r="E41" s="285">
        <f t="shared" si="13"/>
        <v>-288735.87110583484</v>
      </c>
      <c r="F41" s="285">
        <f t="shared" si="13"/>
        <v>-242335.59517215192</v>
      </c>
      <c r="G41" s="285">
        <f t="shared" si="13"/>
        <v>-174535.20874800533</v>
      </c>
      <c r="H41" s="285">
        <f t="shared" si="13"/>
        <v>-125120.65117148496</v>
      </c>
      <c r="I41" s="285">
        <f t="shared" si="13"/>
        <v>-107596.02048394829</v>
      </c>
      <c r="J41" s="285">
        <f t="shared" si="13"/>
        <v>-109377.33161164634</v>
      </c>
      <c r="K41" s="285">
        <f t="shared" si="13"/>
        <v>-166248.03414404765</v>
      </c>
      <c r="L41" s="285">
        <f t="shared" si="13"/>
        <v>-380286.09722321853</v>
      </c>
      <c r="M41" s="285">
        <f t="shared" si="13"/>
        <v>-676111.23221309856</v>
      </c>
      <c r="N41" s="285">
        <f t="shared" si="13"/>
        <v>-873061.94137622416</v>
      </c>
      <c r="O41" s="285">
        <f>SUM(C41:N41)</f>
        <v>-3684274.7031141482</v>
      </c>
    </row>
    <row r="42" spans="1:15">
      <c r="A42" s="392">
        <f t="shared" si="1"/>
        <v>34</v>
      </c>
    </row>
    <row r="43" spans="1:15">
      <c r="A43" s="392">
        <f t="shared" si="1"/>
        <v>35</v>
      </c>
      <c r="B43" s="315" t="s">
        <v>230</v>
      </c>
      <c r="C43" s="439">
        <f>C29+C25-C13</f>
        <v>-22191722</v>
      </c>
      <c r="D43" s="439">
        <f t="shared" ref="D43:N43" si="14">D29+D25-D13</f>
        <v>-32798931</v>
      </c>
      <c r="E43" s="439">
        <f t="shared" si="14"/>
        <v>-24139485</v>
      </c>
      <c r="F43" s="439">
        <f t="shared" si="14"/>
        <v>-13390883</v>
      </c>
      <c r="G43" s="439">
        <f t="shared" si="14"/>
        <v>-16729841</v>
      </c>
      <c r="H43" s="439">
        <f t="shared" si="14"/>
        <v>-12167402</v>
      </c>
      <c r="I43" s="439">
        <f t="shared" si="14"/>
        <v>-6218370</v>
      </c>
      <c r="J43" s="439">
        <f t="shared" si="14"/>
        <v>-1660434</v>
      </c>
      <c r="K43" s="439">
        <f t="shared" si="14"/>
        <v>2079367</v>
      </c>
      <c r="L43" s="439">
        <f t="shared" si="14"/>
        <v>1512206</v>
      </c>
      <c r="M43" s="439">
        <f t="shared" si="14"/>
        <v>15474686</v>
      </c>
      <c r="N43" s="439">
        <f t="shared" si="14"/>
        <v>198306</v>
      </c>
      <c r="O43" s="439">
        <f>SUM(C43:N43)</f>
        <v>-110032503</v>
      </c>
    </row>
    <row r="44" spans="1:15">
      <c r="A44" s="392">
        <f t="shared" si="1"/>
        <v>36</v>
      </c>
      <c r="B44" s="315" t="s">
        <v>516</v>
      </c>
      <c r="C44" s="286">
        <f>C26-C14</f>
        <v>-3.128000000000003E-2</v>
      </c>
      <c r="D44" s="286">
        <f t="shared" ref="D44:N44" si="15">D26-D14</f>
        <v>-3.128000000000003E-2</v>
      </c>
      <c r="E44" s="286">
        <f t="shared" si="15"/>
        <v>-3.128000000000003E-2</v>
      </c>
      <c r="F44" s="286">
        <f t="shared" si="15"/>
        <v>-3.128000000000003E-2</v>
      </c>
      <c r="G44" s="286">
        <f t="shared" si="15"/>
        <v>-1.0709999999999997E-2</v>
      </c>
      <c r="H44" s="286">
        <f t="shared" si="15"/>
        <v>-1.0709999999999997E-2</v>
      </c>
      <c r="I44" s="286">
        <f t="shared" si="15"/>
        <v>-1.0709999999999997E-2</v>
      </c>
      <c r="J44" s="286">
        <f t="shared" si="15"/>
        <v>-1.0709999999999997E-2</v>
      </c>
      <c r="K44" s="286">
        <f t="shared" si="15"/>
        <v>-1.0709999999999997E-2</v>
      </c>
      <c r="L44" s="286">
        <f t="shared" si="15"/>
        <v>-1.0709999999999997E-2</v>
      </c>
      <c r="M44" s="286">
        <f t="shared" si="15"/>
        <v>-1.0709999999999997E-2</v>
      </c>
      <c r="N44" s="286">
        <f t="shared" si="15"/>
        <v>-1.0709999999999997E-2</v>
      </c>
      <c r="O44" s="286"/>
    </row>
    <row r="45" spans="1:15">
      <c r="A45" s="392">
        <f t="shared" si="1"/>
        <v>37</v>
      </c>
      <c r="B45" s="315" t="s">
        <v>472</v>
      </c>
      <c r="C45" s="285">
        <f>C33-C15</f>
        <v>-11234337.00516</v>
      </c>
      <c r="D45" s="285">
        <f t="shared" ref="D45:N45" si="16">D33-D15</f>
        <v>-14889348.053940002</v>
      </c>
      <c r="E45" s="285">
        <f t="shared" si="16"/>
        <v>-11306733.555660002</v>
      </c>
      <c r="F45" s="285">
        <f t="shared" si="16"/>
        <v>-6734606.0717800017</v>
      </c>
      <c r="G45" s="285">
        <f t="shared" si="16"/>
        <v>-6812144.2211199999</v>
      </c>
      <c r="H45" s="285">
        <f t="shared" si="16"/>
        <v>-4941213.4303200003</v>
      </c>
      <c r="I45" s="285">
        <f t="shared" si="16"/>
        <v>-2570286.8052000003</v>
      </c>
      <c r="J45" s="285">
        <f t="shared" si="16"/>
        <v>-784173.03017999977</v>
      </c>
      <c r="K45" s="285">
        <f t="shared" si="16"/>
        <v>621858.10020999983</v>
      </c>
      <c r="L45" s="285">
        <f t="shared" si="16"/>
        <v>280898.67706999928</v>
      </c>
      <c r="M45" s="285">
        <f t="shared" si="16"/>
        <v>5312772.9664699994</v>
      </c>
      <c r="N45" s="285">
        <f t="shared" si="16"/>
        <v>-853220.73284999654</v>
      </c>
      <c r="O45" s="285">
        <f>SUM(C45:N45)</f>
        <v>-53910533.162460014</v>
      </c>
    </row>
    <row r="46" spans="1:15">
      <c r="A46" s="392">
        <f t="shared" si="1"/>
        <v>38</v>
      </c>
      <c r="O46" s="285"/>
    </row>
    <row r="47" spans="1:15">
      <c r="A47" s="392">
        <f t="shared" si="1"/>
        <v>39</v>
      </c>
      <c r="B47" s="315" t="s">
        <v>253</v>
      </c>
      <c r="C47" s="285">
        <f>C41-C45</f>
        <v>10981127.720572073</v>
      </c>
      <c r="D47" s="285">
        <f t="shared" ref="D47:N47" si="17">D41-D45</f>
        <v>14601690.618663441</v>
      </c>
      <c r="E47" s="285">
        <f t="shared" si="17"/>
        <v>11017997.684554167</v>
      </c>
      <c r="F47" s="285">
        <f t="shared" si="17"/>
        <v>6492270.4766078498</v>
      </c>
      <c r="G47" s="285">
        <f t="shared" si="17"/>
        <v>6637609.0123719946</v>
      </c>
      <c r="H47" s="285">
        <f t="shared" si="17"/>
        <v>4816092.7791485153</v>
      </c>
      <c r="I47" s="285">
        <f>I41-I45</f>
        <v>2462690.784716052</v>
      </c>
      <c r="J47" s="285">
        <f t="shared" si="17"/>
        <v>674795.69856835343</v>
      </c>
      <c r="K47" s="285">
        <f t="shared" si="17"/>
        <v>-788106.13435404748</v>
      </c>
      <c r="L47" s="285">
        <f t="shared" si="17"/>
        <v>-661184.77429321781</v>
      </c>
      <c r="M47" s="285">
        <f t="shared" si="17"/>
        <v>-5988884.198683098</v>
      </c>
      <c r="N47" s="285">
        <f t="shared" si="17"/>
        <v>-19841.208526227623</v>
      </c>
      <c r="O47" s="285">
        <f t="shared" ref="O47" si="18">SUM(C47:N47)</f>
        <v>50226258.459345862</v>
      </c>
    </row>
    <row r="48" spans="1:15">
      <c r="A48" s="392"/>
    </row>
    <row r="49" spans="1:2">
      <c r="A49" s="392"/>
      <c r="B49" s="315" t="s">
        <v>518</v>
      </c>
    </row>
  </sheetData>
  <mergeCells count="4">
    <mergeCell ref="A1:O1"/>
    <mergeCell ref="A2:O2"/>
    <mergeCell ref="A3:O3"/>
    <mergeCell ref="A4:O4"/>
  </mergeCells>
  <printOptions horizontalCentered="1"/>
  <pageMargins left="0.7" right="0.7" top="0.75" bottom="0.75" header="0.3" footer="0.3"/>
  <pageSetup scale="51"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49"/>
  <sheetViews>
    <sheetView zoomScale="57" workbookViewId="0">
      <selection activeCell="I68" sqref="I68"/>
    </sheetView>
  </sheetViews>
  <sheetFormatPr baseColWidth="10" defaultColWidth="9.1640625" defaultRowHeight="13"/>
  <cols>
    <col min="1" max="1" width="3.6640625" style="315" customWidth="1"/>
    <col min="2" max="2" width="41" style="315" customWidth="1"/>
    <col min="3" max="15" width="13.6640625" style="315" customWidth="1"/>
    <col min="16" max="17" width="12.33203125" style="315" customWidth="1"/>
    <col min="18" max="16384" width="9.1640625" style="315"/>
  </cols>
  <sheetData>
    <row r="1" spans="1:20">
      <c r="A1" s="624" t="s">
        <v>22</v>
      </c>
      <c r="B1" s="624"/>
      <c r="C1" s="624"/>
      <c r="D1" s="624"/>
      <c r="E1" s="624"/>
      <c r="F1" s="624"/>
      <c r="G1" s="624"/>
      <c r="H1" s="624"/>
      <c r="I1" s="624"/>
      <c r="J1" s="624"/>
      <c r="K1" s="624"/>
      <c r="L1" s="624"/>
      <c r="M1" s="624"/>
      <c r="N1" s="624"/>
      <c r="O1" s="624"/>
    </row>
    <row r="2" spans="1:20">
      <c r="A2" s="624" t="s">
        <v>519</v>
      </c>
      <c r="B2" s="624"/>
      <c r="C2" s="624"/>
      <c r="D2" s="624"/>
      <c r="E2" s="624"/>
      <c r="F2" s="624"/>
      <c r="G2" s="624"/>
      <c r="H2" s="624"/>
      <c r="I2" s="624"/>
      <c r="J2" s="624"/>
      <c r="K2" s="624"/>
      <c r="L2" s="624"/>
      <c r="M2" s="624"/>
      <c r="N2" s="624"/>
      <c r="O2" s="624"/>
    </row>
    <row r="3" spans="1:20">
      <c r="A3" s="624" t="s">
        <v>511</v>
      </c>
      <c r="B3" s="624"/>
      <c r="C3" s="624"/>
      <c r="D3" s="624"/>
      <c r="E3" s="624"/>
      <c r="F3" s="624"/>
      <c r="G3" s="624"/>
      <c r="H3" s="624"/>
      <c r="I3" s="624"/>
      <c r="J3" s="624"/>
      <c r="K3" s="624"/>
      <c r="L3" s="624"/>
      <c r="M3" s="624"/>
      <c r="N3" s="624"/>
      <c r="O3" s="624"/>
    </row>
    <row r="4" spans="1:20">
      <c r="A4" s="624" t="s">
        <v>466</v>
      </c>
      <c r="B4" s="624"/>
      <c r="C4" s="624"/>
      <c r="D4" s="624"/>
      <c r="E4" s="624"/>
      <c r="F4" s="624"/>
      <c r="G4" s="624"/>
      <c r="H4" s="624"/>
      <c r="I4" s="624"/>
      <c r="J4" s="624"/>
      <c r="K4" s="624"/>
      <c r="L4" s="624"/>
      <c r="M4" s="624"/>
      <c r="N4" s="624"/>
      <c r="O4" s="624"/>
    </row>
    <row r="5" spans="1:20">
      <c r="A5" s="392"/>
      <c r="B5" s="392"/>
      <c r="C5" s="392"/>
      <c r="D5" s="392"/>
      <c r="E5" s="392"/>
      <c r="F5" s="392"/>
      <c r="G5" s="392"/>
      <c r="H5" s="392"/>
      <c r="I5" s="392"/>
      <c r="J5" s="392"/>
      <c r="K5" s="392"/>
      <c r="L5" s="392"/>
      <c r="M5" s="392"/>
      <c r="N5" s="392"/>
    </row>
    <row r="7" spans="1:20" ht="25.5" customHeight="1">
      <c r="A7" s="278"/>
      <c r="B7" s="435"/>
      <c r="C7" s="175">
        <v>42005</v>
      </c>
      <c r="D7" s="175">
        <f t="shared" ref="D7:N7" si="0">EDATE(C7,1)</f>
        <v>42036</v>
      </c>
      <c r="E7" s="175">
        <f t="shared" si="0"/>
        <v>42064</v>
      </c>
      <c r="F7" s="175">
        <f t="shared" si="0"/>
        <v>42095</v>
      </c>
      <c r="G7" s="175">
        <f t="shared" si="0"/>
        <v>42125</v>
      </c>
      <c r="H7" s="175">
        <f t="shared" si="0"/>
        <v>42156</v>
      </c>
      <c r="I7" s="175">
        <f t="shared" si="0"/>
        <v>42186</v>
      </c>
      <c r="J7" s="175">
        <f t="shared" si="0"/>
        <v>42217</v>
      </c>
      <c r="K7" s="175">
        <f t="shared" si="0"/>
        <v>42248</v>
      </c>
      <c r="L7" s="175">
        <f t="shared" si="0"/>
        <v>42278</v>
      </c>
      <c r="M7" s="175">
        <f t="shared" si="0"/>
        <v>42309</v>
      </c>
      <c r="N7" s="175">
        <f t="shared" si="0"/>
        <v>42339</v>
      </c>
      <c r="O7" s="175" t="s">
        <v>143</v>
      </c>
      <c r="P7" s="436"/>
      <c r="Q7" s="436"/>
      <c r="R7" s="437"/>
      <c r="S7" s="437"/>
      <c r="T7" s="437"/>
    </row>
    <row r="8" spans="1:20">
      <c r="A8" s="392"/>
      <c r="B8" s="438" t="s">
        <v>512</v>
      </c>
      <c r="C8" s="285"/>
      <c r="D8" s="285"/>
      <c r="E8" s="285"/>
      <c r="F8" s="285"/>
      <c r="G8" s="285"/>
      <c r="H8" s="285"/>
      <c r="I8" s="285"/>
      <c r="J8" s="285"/>
      <c r="K8" s="285"/>
      <c r="L8" s="285"/>
      <c r="M8" s="285"/>
      <c r="N8" s="285"/>
      <c r="O8" s="285"/>
    </row>
    <row r="9" spans="1:20">
      <c r="A9" s="392">
        <v>1</v>
      </c>
      <c r="B9" s="315" t="s">
        <v>513</v>
      </c>
      <c r="C9" s="476">
        <v>58241.011227499694</v>
      </c>
      <c r="D9" s="476">
        <v>58341.396851109224</v>
      </c>
      <c r="E9" s="476">
        <v>58406.341056991951</v>
      </c>
      <c r="F9" s="476">
        <v>58441.281017899048</v>
      </c>
      <c r="G9" s="476">
        <v>58430.885719220503</v>
      </c>
      <c r="H9" s="476">
        <v>58421.786938681034</v>
      </c>
      <c r="I9" s="476">
        <v>58390.746240850189</v>
      </c>
      <c r="J9" s="476">
        <v>58382.675937218242</v>
      </c>
      <c r="K9" s="476">
        <v>58441.494154965505</v>
      </c>
      <c r="L9" s="476">
        <v>58572.600042498321</v>
      </c>
      <c r="M9" s="476">
        <v>58779.418152848026</v>
      </c>
      <c r="N9" s="476">
        <v>58929.957325842115</v>
      </c>
      <c r="O9" s="280"/>
      <c r="P9" s="280"/>
      <c r="Q9" s="280"/>
    </row>
    <row r="10" spans="1:20">
      <c r="A10" s="392">
        <f t="shared" ref="A10:A47" si="1">A9+1</f>
        <v>2</v>
      </c>
      <c r="B10" s="315" t="s">
        <v>468</v>
      </c>
      <c r="C10" s="475">
        <v>197.68865315040483</v>
      </c>
      <c r="D10" s="475">
        <v>184.00517751654226</v>
      </c>
      <c r="E10" s="475">
        <v>165.4736633283789</v>
      </c>
      <c r="F10" s="475">
        <v>126.97901175500651</v>
      </c>
      <c r="G10" s="475">
        <v>95.067786132979037</v>
      </c>
      <c r="H10" s="475">
        <v>73.677671629321466</v>
      </c>
      <c r="I10" s="475">
        <v>65.927791703472906</v>
      </c>
      <c r="J10" s="475">
        <v>62.114317835130514</v>
      </c>
      <c r="K10" s="475">
        <v>68.771204624911391</v>
      </c>
      <c r="L10" s="475">
        <v>108.2106266270212</v>
      </c>
      <c r="M10" s="475">
        <v>162.39917191910399</v>
      </c>
      <c r="N10" s="475">
        <v>200.81492377772696</v>
      </c>
      <c r="O10" s="283"/>
      <c r="P10" s="283"/>
      <c r="Q10" s="283"/>
    </row>
    <row r="11" spans="1:20">
      <c r="A11" s="392">
        <f t="shared" si="1"/>
        <v>3</v>
      </c>
      <c r="B11" s="315" t="s">
        <v>469</v>
      </c>
      <c r="C11" s="285">
        <f t="shared" ref="C11:N11" si="2">C9*C10</f>
        <v>11513587.06768202</v>
      </c>
      <c r="D11" s="285">
        <f t="shared" si="2"/>
        <v>10735119.084151393</v>
      </c>
      <c r="E11" s="285">
        <f t="shared" si="2"/>
        <v>9664711.2163071595</v>
      </c>
      <c r="F11" s="285">
        <f t="shared" si="2"/>
        <v>7420816.1093494417</v>
      </c>
      <c r="G11" s="285">
        <f t="shared" si="2"/>
        <v>5554894.9471153943</v>
      </c>
      <c r="H11" s="285">
        <f t="shared" si="2"/>
        <v>4304381.2340663234</v>
      </c>
      <c r="I11" s="285">
        <f t="shared" si="2"/>
        <v>3849572.9555771151</v>
      </c>
      <c r="J11" s="285">
        <f t="shared" si="2"/>
        <v>3626400.0892298003</v>
      </c>
      <c r="K11" s="285">
        <f t="shared" si="2"/>
        <v>4019091.9531166959</v>
      </c>
      <c r="L11" s="285">
        <f t="shared" si="2"/>
        <v>6338177.7537726322</v>
      </c>
      <c r="M11" s="285">
        <f t="shared" si="2"/>
        <v>9545728.8339092694</v>
      </c>
      <c r="N11" s="285">
        <f t="shared" si="2"/>
        <v>11834014.888613686</v>
      </c>
      <c r="O11" s="285">
        <f>SUM(C11:N11)</f>
        <v>88406496.132890925</v>
      </c>
      <c r="P11" s="441"/>
      <c r="Q11" s="441"/>
    </row>
    <row r="12" spans="1:20">
      <c r="A12" s="392">
        <f t="shared" si="1"/>
        <v>4</v>
      </c>
      <c r="P12" s="433"/>
      <c r="Q12" s="433"/>
    </row>
    <row r="13" spans="1:20">
      <c r="A13" s="392">
        <f t="shared" si="1"/>
        <v>5</v>
      </c>
      <c r="B13" s="315" t="s">
        <v>514</v>
      </c>
      <c r="C13" s="476">
        <v>42915603</v>
      </c>
      <c r="D13" s="476">
        <v>40040796</v>
      </c>
      <c r="E13" s="476">
        <v>35834529</v>
      </c>
      <c r="F13" s="476">
        <v>28491422</v>
      </c>
      <c r="G13" s="476">
        <v>22232003</v>
      </c>
      <c r="H13" s="476">
        <v>17654807</v>
      </c>
      <c r="I13" s="476">
        <v>13805490</v>
      </c>
      <c r="J13" s="476">
        <v>12721713</v>
      </c>
      <c r="K13" s="476">
        <v>13142737</v>
      </c>
      <c r="L13" s="476">
        <v>16593084</v>
      </c>
      <c r="M13" s="476">
        <v>27046240</v>
      </c>
      <c r="N13" s="476">
        <v>38674286</v>
      </c>
      <c r="O13" s="439">
        <f>SUM(C13:N13)</f>
        <v>309152710</v>
      </c>
      <c r="P13" s="280"/>
      <c r="Q13" s="280"/>
    </row>
    <row r="14" spans="1:20">
      <c r="A14" s="392">
        <f t="shared" si="1"/>
        <v>6</v>
      </c>
      <c r="B14" s="315" t="s">
        <v>515</v>
      </c>
      <c r="C14" s="478">
        <v>0.28776000000000002</v>
      </c>
      <c r="D14" s="478">
        <v>0.28776000000000002</v>
      </c>
      <c r="E14" s="478">
        <v>0.28776000000000002</v>
      </c>
      <c r="F14" s="478">
        <v>0.28776000000000002</v>
      </c>
      <c r="G14" s="478">
        <v>0.29488999999999999</v>
      </c>
      <c r="H14" s="478">
        <v>0.29488999999999999</v>
      </c>
      <c r="I14" s="478">
        <v>0.29488999999999999</v>
      </c>
      <c r="J14" s="478">
        <v>0.29488999999999999</v>
      </c>
      <c r="K14" s="478">
        <v>0.29488999999999999</v>
      </c>
      <c r="L14" s="478">
        <v>0.29488999999999999</v>
      </c>
      <c r="M14" s="478">
        <v>0.29488999999999999</v>
      </c>
      <c r="N14" s="478">
        <v>0.29488999999999999</v>
      </c>
      <c r="O14" s="286"/>
      <c r="P14" s="442"/>
      <c r="Q14" s="442"/>
    </row>
    <row r="15" spans="1:20">
      <c r="A15" s="392">
        <f t="shared" si="1"/>
        <v>7</v>
      </c>
      <c r="B15" s="315" t="s">
        <v>472</v>
      </c>
      <c r="C15" s="285">
        <f t="shared" ref="C15:N15" si="3">C13*C14</f>
        <v>12349393.91928</v>
      </c>
      <c r="D15" s="285">
        <f t="shared" si="3"/>
        <v>11522139.45696</v>
      </c>
      <c r="E15" s="285">
        <f t="shared" si="3"/>
        <v>10311744.06504</v>
      </c>
      <c r="F15" s="285">
        <f t="shared" si="3"/>
        <v>8198691.5947200004</v>
      </c>
      <c r="G15" s="285">
        <f t="shared" si="3"/>
        <v>6555995.36467</v>
      </c>
      <c r="H15" s="285">
        <f t="shared" si="3"/>
        <v>5206226.0362299997</v>
      </c>
      <c r="I15" s="285">
        <f t="shared" si="3"/>
        <v>4071100.9460999998</v>
      </c>
      <c r="J15" s="285">
        <f t="shared" si="3"/>
        <v>3751505.9465699997</v>
      </c>
      <c r="K15" s="285">
        <f t="shared" si="3"/>
        <v>3875661.7139299996</v>
      </c>
      <c r="L15" s="285">
        <f t="shared" si="3"/>
        <v>4893134.5407599993</v>
      </c>
      <c r="M15" s="285">
        <f t="shared" si="3"/>
        <v>7975665.7135999994</v>
      </c>
      <c r="N15" s="285">
        <f t="shared" si="3"/>
        <v>11404660.19854</v>
      </c>
      <c r="O15" s="285">
        <f>SUM(C15:N15)</f>
        <v>90115919.496399984</v>
      </c>
      <c r="P15" s="441"/>
      <c r="Q15" s="441"/>
    </row>
    <row r="16" spans="1:20">
      <c r="A16" s="392">
        <f t="shared" si="1"/>
        <v>8</v>
      </c>
      <c r="O16" s="285"/>
    </row>
    <row r="17" spans="1:17">
      <c r="A17" s="392">
        <f t="shared" si="1"/>
        <v>9</v>
      </c>
      <c r="B17" s="315" t="s">
        <v>253</v>
      </c>
      <c r="C17" s="285">
        <f t="shared" ref="C17:N17" si="4">C11-C15</f>
        <v>-835806.85159797966</v>
      </c>
      <c r="D17" s="285">
        <f t="shared" si="4"/>
        <v>-787020.3728086073</v>
      </c>
      <c r="E17" s="285">
        <f t="shared" si="4"/>
        <v>-647032.84873284027</v>
      </c>
      <c r="F17" s="285">
        <f t="shared" si="4"/>
        <v>-777875.48537055869</v>
      </c>
      <c r="G17" s="285">
        <f t="shared" si="4"/>
        <v>-1001100.4175546058</v>
      </c>
      <c r="H17" s="285">
        <f t="shared" si="4"/>
        <v>-901844.80216367636</v>
      </c>
      <c r="I17" s="285">
        <f t="shared" si="4"/>
        <v>-221527.99052288476</v>
      </c>
      <c r="J17" s="285">
        <f t="shared" si="4"/>
        <v>-125105.85734019941</v>
      </c>
      <c r="K17" s="285">
        <f t="shared" si="4"/>
        <v>143430.23918669624</v>
      </c>
      <c r="L17" s="285">
        <f t="shared" si="4"/>
        <v>1445043.2130126329</v>
      </c>
      <c r="M17" s="285">
        <f t="shared" si="4"/>
        <v>1570063.12030927</v>
      </c>
      <c r="N17" s="285">
        <f t="shared" si="4"/>
        <v>429354.69007368572</v>
      </c>
      <c r="O17" s="285">
        <f>SUM(C17:N17)</f>
        <v>-1709423.3635090664</v>
      </c>
      <c r="P17" s="441"/>
      <c r="Q17" s="441"/>
    </row>
    <row r="18" spans="1:17">
      <c r="A18" s="392">
        <f t="shared" si="1"/>
        <v>10</v>
      </c>
      <c r="C18" s="285"/>
      <c r="D18" s="285"/>
      <c r="E18" s="285"/>
      <c r="F18" s="285"/>
      <c r="G18" s="285"/>
      <c r="H18" s="285"/>
      <c r="I18" s="285"/>
      <c r="J18" s="285"/>
      <c r="K18" s="285"/>
      <c r="L18" s="285"/>
      <c r="M18" s="285"/>
      <c r="N18" s="285"/>
      <c r="O18" s="285"/>
      <c r="P18" s="441"/>
      <c r="Q18" s="441"/>
    </row>
    <row r="19" spans="1:17">
      <c r="A19" s="392">
        <f t="shared" si="1"/>
        <v>11</v>
      </c>
      <c r="P19" s="441"/>
      <c r="Q19" s="441"/>
    </row>
    <row r="20" spans="1:17">
      <c r="A20" s="392">
        <f t="shared" si="1"/>
        <v>12</v>
      </c>
      <c r="B20" s="438" t="s">
        <v>198</v>
      </c>
      <c r="C20" s="392"/>
      <c r="D20" s="392"/>
      <c r="E20" s="392"/>
      <c r="F20" s="392"/>
      <c r="G20" s="392"/>
      <c r="H20" s="392"/>
      <c r="I20" s="392"/>
      <c r="J20" s="392"/>
      <c r="K20" s="392"/>
      <c r="L20" s="392"/>
      <c r="M20" s="392"/>
      <c r="N20" s="392"/>
      <c r="P20" s="441"/>
      <c r="Q20" s="441"/>
    </row>
    <row r="21" spans="1:17">
      <c r="A21" s="392">
        <f t="shared" si="1"/>
        <v>13</v>
      </c>
      <c r="B21" s="315" t="s">
        <v>467</v>
      </c>
      <c r="C21" s="477">
        <f>'Non-Res Deferral Calc 2015'!C9</f>
        <v>57457</v>
      </c>
      <c r="D21" s="477">
        <f>'Non-Res Deferral Calc 2015'!D9</f>
        <v>57483</v>
      </c>
      <c r="E21" s="477">
        <f>'Non-Res Deferral Calc 2015'!E9</f>
        <v>57471</v>
      </c>
      <c r="F21" s="477">
        <f>'Non-Res Deferral Calc 2015'!F9</f>
        <v>57411</v>
      </c>
      <c r="G21" s="477">
        <f>'Non-Res Deferral Calc 2015'!G9</f>
        <v>57394</v>
      </c>
      <c r="H21" s="477">
        <f>'Non-Res Deferral Calc 2015'!H9</f>
        <v>57394</v>
      </c>
      <c r="I21" s="477">
        <f>'Non-Res Deferral Calc 2015'!I9</f>
        <v>57312</v>
      </c>
      <c r="J21" s="477">
        <f>'Non-Res Deferral Calc 2015'!J9</f>
        <v>57243</v>
      </c>
      <c r="K21" s="477">
        <f>'Non-Res Deferral Calc 2015'!K9</f>
        <v>57228</v>
      </c>
      <c r="L21" s="477">
        <f>'Non-Res Deferral Calc 2015'!L9</f>
        <v>57238</v>
      </c>
      <c r="M21" s="477">
        <f>'Non-Res Deferral Calc 2015'!M9</f>
        <v>57388</v>
      </c>
      <c r="N21" s="477">
        <f>'Non-Res Deferral Calc 2015'!N9</f>
        <v>57540</v>
      </c>
      <c r="O21" s="280"/>
      <c r="P21" s="441"/>
      <c r="Q21" s="441"/>
    </row>
    <row r="22" spans="1:17">
      <c r="A22" s="392">
        <f t="shared" si="1"/>
        <v>14</v>
      </c>
      <c r="B22" s="315" t="s">
        <v>468</v>
      </c>
      <c r="C22" s="313">
        <f>'Non-Res Deferral Calc 2015'!C10</f>
        <v>197.68865315040483</v>
      </c>
      <c r="D22" s="313">
        <f>'Non-Res Deferral Calc 2015'!D10</f>
        <v>184.00517751654226</v>
      </c>
      <c r="E22" s="313">
        <f>'Non-Res Deferral Calc 2015'!E10</f>
        <v>165.4736633283789</v>
      </c>
      <c r="F22" s="313">
        <f>'Non-Res Deferral Calc 2015'!F10</f>
        <v>126.97901175500651</v>
      </c>
      <c r="G22" s="313">
        <f>'Non-Res Deferral Calc 2015'!G10</f>
        <v>95.067786132979037</v>
      </c>
      <c r="H22" s="313">
        <f>'Non-Res Deferral Calc 2015'!H10</f>
        <v>73.677671629321466</v>
      </c>
      <c r="I22" s="313">
        <f>'Non-Res Deferral Calc 2015'!I10</f>
        <v>65.927791703472906</v>
      </c>
      <c r="J22" s="313">
        <f>'Non-Res Deferral Calc 2015'!J10</f>
        <v>62.114317835130514</v>
      </c>
      <c r="K22" s="313">
        <f>'Non-Res Deferral Calc 2015'!K10</f>
        <v>68.771204624911391</v>
      </c>
      <c r="L22" s="313">
        <f>'Non-Res Deferral Calc 2015'!L10</f>
        <v>108.2106266270212</v>
      </c>
      <c r="M22" s="313">
        <f>'Non-Res Deferral Calc 2015'!M10</f>
        <v>162.39917191910399</v>
      </c>
      <c r="N22" s="313">
        <f>'Non-Res Deferral Calc 2015'!N10</f>
        <v>200.81492377772696</v>
      </c>
      <c r="O22" s="283"/>
      <c r="P22" s="441"/>
      <c r="Q22" s="441"/>
    </row>
    <row r="23" spans="1:17">
      <c r="A23" s="392">
        <f t="shared" si="1"/>
        <v>15</v>
      </c>
      <c r="B23" s="315" t="s">
        <v>469</v>
      </c>
      <c r="C23" s="285">
        <f t="shared" ref="C23:N23" si="5">C21*C22</f>
        <v>11358596.94406281</v>
      </c>
      <c r="D23" s="285">
        <f t="shared" si="5"/>
        <v>10577169.619183399</v>
      </c>
      <c r="E23" s="285">
        <f t="shared" si="5"/>
        <v>9509936.9051452633</v>
      </c>
      <c r="F23" s="285">
        <f t="shared" si="5"/>
        <v>7289992.0438666791</v>
      </c>
      <c r="G23" s="285">
        <f t="shared" si="5"/>
        <v>5456320.5173161989</v>
      </c>
      <c r="H23" s="285">
        <f t="shared" si="5"/>
        <v>4228656.2854932761</v>
      </c>
      <c r="I23" s="285">
        <f t="shared" si="5"/>
        <v>3778453.598109439</v>
      </c>
      <c r="J23" s="285">
        <f t="shared" si="5"/>
        <v>3555609.8958363761</v>
      </c>
      <c r="K23" s="285">
        <f t="shared" si="5"/>
        <v>3935638.4982744292</v>
      </c>
      <c r="L23" s="285">
        <f t="shared" si="5"/>
        <v>6193759.8468774389</v>
      </c>
      <c r="M23" s="285">
        <f t="shared" si="5"/>
        <v>9319763.6780935396</v>
      </c>
      <c r="N23" s="285">
        <f t="shared" si="5"/>
        <v>11554890.714170409</v>
      </c>
      <c r="O23" s="285">
        <f>SUM(C23:N23)</f>
        <v>86758788.546429262</v>
      </c>
    </row>
    <row r="24" spans="1:17">
      <c r="A24" s="392">
        <f t="shared" si="1"/>
        <v>16</v>
      </c>
      <c r="P24" s="440"/>
      <c r="Q24" s="440"/>
    </row>
    <row r="25" spans="1:17">
      <c r="A25" s="392">
        <f t="shared" si="1"/>
        <v>17</v>
      </c>
      <c r="B25" s="315" t="s">
        <v>470</v>
      </c>
      <c r="C25" s="477">
        <f>'Non-Res Deferral Calc 2015'!C13</f>
        <v>35273672</v>
      </c>
      <c r="D25" s="477">
        <f>'Non-Res Deferral Calc 2015'!D13</f>
        <v>27448448</v>
      </c>
      <c r="E25" s="477">
        <f>'Non-Res Deferral Calc 2015'!E13</f>
        <v>28001355</v>
      </c>
      <c r="F25" s="477">
        <f>'Non-Res Deferral Calc 2015'!F13</f>
        <v>24380307</v>
      </c>
      <c r="G25" s="477">
        <f>'Non-Res Deferral Calc 2015'!G13</f>
        <v>15425355</v>
      </c>
      <c r="H25" s="477">
        <f>'Non-Res Deferral Calc 2015'!H13</f>
        <v>12462695</v>
      </c>
      <c r="I25" s="477">
        <f>'Non-Res Deferral Calc 2015'!I13</f>
        <v>11375904</v>
      </c>
      <c r="J25" s="477">
        <f>'Non-Res Deferral Calc 2015'!J13</f>
        <v>12274384</v>
      </c>
      <c r="K25" s="477">
        <f>'Non-Res Deferral Calc 2015'!K13</f>
        <v>13616721</v>
      </c>
      <c r="L25" s="477">
        <f>'Non-Res Deferral Calc 2015'!L13</f>
        <v>18282881</v>
      </c>
      <c r="M25" s="477">
        <f>'Non-Res Deferral Calc 2015'!M13</f>
        <v>32024932</v>
      </c>
      <c r="N25" s="477">
        <f>'Non-Res Deferral Calc 2015'!N13</f>
        <v>45796601</v>
      </c>
      <c r="O25" s="439">
        <f>SUM(C25:N25)</f>
        <v>276363255</v>
      </c>
    </row>
    <row r="26" spans="1:17">
      <c r="A26" s="392">
        <f t="shared" si="1"/>
        <v>18</v>
      </c>
      <c r="B26" s="315" t="s">
        <v>516</v>
      </c>
      <c r="C26" s="363">
        <f>'Non-Res Deferral Calc 2015'!C14</f>
        <v>0.27781</v>
      </c>
      <c r="D26" s="363">
        <f>'Non-Res Deferral Calc 2015'!D14</f>
        <v>0.27781</v>
      </c>
      <c r="E26" s="363">
        <f>'Non-Res Deferral Calc 2015'!E14</f>
        <v>0.27781</v>
      </c>
      <c r="F26" s="363">
        <f>'Non-Res Deferral Calc 2015'!F14</f>
        <v>0.27781</v>
      </c>
      <c r="G26" s="363">
        <f>'Non-Res Deferral Calc 2015'!G14</f>
        <v>0.26756999999999997</v>
      </c>
      <c r="H26" s="363">
        <f>'Non-Res Deferral Calc 2015'!H14</f>
        <v>0.26756999999999997</v>
      </c>
      <c r="I26" s="363">
        <f>'Non-Res Deferral Calc 2015'!I14</f>
        <v>0.26756999999999997</v>
      </c>
      <c r="J26" s="363">
        <f>'Non-Res Deferral Calc 2015'!J14</f>
        <v>0.26756999999999997</v>
      </c>
      <c r="K26" s="363">
        <f>'Non-Res Deferral Calc 2015'!K14</f>
        <v>0.26756999999999997</v>
      </c>
      <c r="L26" s="363">
        <f>'Non-Res Deferral Calc 2015'!L14</f>
        <v>0.26756999999999997</v>
      </c>
      <c r="M26" s="363">
        <f>'Non-Res Deferral Calc 2015'!M14</f>
        <v>0.26756999999999997</v>
      </c>
      <c r="N26" s="363">
        <f>'Non-Res Deferral Calc 2015'!N14</f>
        <v>0.26756999999999997</v>
      </c>
      <c r="O26" s="286"/>
    </row>
    <row r="27" spans="1:17">
      <c r="A27" s="392">
        <f t="shared" si="1"/>
        <v>19</v>
      </c>
      <c r="B27" s="315" t="s">
        <v>472</v>
      </c>
      <c r="C27" s="285">
        <f t="shared" ref="C27:N27" si="6">C25*C26</f>
        <v>9799378.8183200005</v>
      </c>
      <c r="D27" s="285">
        <f t="shared" si="6"/>
        <v>7625453.3388799997</v>
      </c>
      <c r="E27" s="285">
        <f t="shared" si="6"/>
        <v>7779056.43255</v>
      </c>
      <c r="F27" s="285">
        <f t="shared" si="6"/>
        <v>6773093.0876700003</v>
      </c>
      <c r="G27" s="285">
        <f t="shared" si="6"/>
        <v>4127362.2373499996</v>
      </c>
      <c r="H27" s="285">
        <f t="shared" si="6"/>
        <v>3334643.3011499997</v>
      </c>
      <c r="I27" s="285">
        <f t="shared" si="6"/>
        <v>3043850.6332799997</v>
      </c>
      <c r="J27" s="285">
        <f t="shared" si="6"/>
        <v>3284256.9268799997</v>
      </c>
      <c r="K27" s="285">
        <f t="shared" si="6"/>
        <v>3643426.0379699995</v>
      </c>
      <c r="L27" s="285">
        <f t="shared" si="6"/>
        <v>4891950.4691699995</v>
      </c>
      <c r="M27" s="285">
        <f t="shared" si="6"/>
        <v>8568911.0552399997</v>
      </c>
      <c r="N27" s="285">
        <f t="shared" si="6"/>
        <v>12253796.529569998</v>
      </c>
      <c r="O27" s="285">
        <f>SUM(C27:N27)</f>
        <v>75125178.868029997</v>
      </c>
    </row>
    <row r="28" spans="1:17">
      <c r="A28" s="392">
        <f t="shared" si="1"/>
        <v>20</v>
      </c>
      <c r="O28" s="285"/>
    </row>
    <row r="29" spans="1:17">
      <c r="A29" s="392">
        <f t="shared" si="1"/>
        <v>21</v>
      </c>
      <c r="B29" s="315" t="s">
        <v>473</v>
      </c>
      <c r="C29" s="477">
        <f>'Non-Res Deferral Calc 2015'!C17</f>
        <v>0</v>
      </c>
      <c r="D29" s="477">
        <f>'Non-Res Deferral Calc 2015'!D17</f>
        <v>0</v>
      </c>
      <c r="E29" s="477">
        <f>'Non-Res Deferral Calc 2015'!E17</f>
        <v>0</v>
      </c>
      <c r="F29" s="477">
        <f>'Non-Res Deferral Calc 2015'!F17</f>
        <v>0</v>
      </c>
      <c r="G29" s="477">
        <f>'Non-Res Deferral Calc 2015'!G17</f>
        <v>2184689</v>
      </c>
      <c r="H29" s="477">
        <f>'Non-Res Deferral Calc 2015'!H17</f>
        <v>477621</v>
      </c>
      <c r="I29" s="477">
        <f>'Non-Res Deferral Calc 2015'!I17</f>
        <v>207178</v>
      </c>
      <c r="J29" s="477">
        <f>'Non-Res Deferral Calc 2015'!J17</f>
        <v>0</v>
      </c>
      <c r="K29" s="477">
        <f>'Non-Res Deferral Calc 2015'!K17</f>
        <v>0</v>
      </c>
      <c r="L29" s="477">
        <f>'Non-Res Deferral Calc 2015'!L17</f>
        <v>0</v>
      </c>
      <c r="M29" s="477">
        <f>'Non-Res Deferral Calc 2015'!M17</f>
        <v>0</v>
      </c>
      <c r="N29" s="477">
        <f>'Non-Res Deferral Calc 2015'!N17</f>
        <v>0</v>
      </c>
      <c r="O29" s="439">
        <f>SUM(C29:N29)</f>
        <v>2869488</v>
      </c>
    </row>
    <row r="30" spans="1:17">
      <c r="A30" s="392">
        <f t="shared" si="1"/>
        <v>22</v>
      </c>
      <c r="B30" s="315" t="s">
        <v>516</v>
      </c>
      <c r="C30" s="363">
        <f>'Non-Res Deferral Calc 2015'!C18</f>
        <v>0</v>
      </c>
      <c r="D30" s="363">
        <f>'Non-Res Deferral Calc 2015'!D18</f>
        <v>0</v>
      </c>
      <c r="E30" s="363">
        <f>'Non-Res Deferral Calc 2015'!E18</f>
        <v>0</v>
      </c>
      <c r="F30" s="363">
        <f>'Non-Res Deferral Calc 2015'!F18</f>
        <v>0</v>
      </c>
      <c r="G30" s="363">
        <f>'Non-Res Deferral Calc 2015'!G18</f>
        <v>0.27781</v>
      </c>
      <c r="H30" s="363">
        <f>'Non-Res Deferral Calc 2015'!H18</f>
        <v>0.27781</v>
      </c>
      <c r="I30" s="363">
        <f>'Non-Res Deferral Calc 2015'!I18</f>
        <v>0.27781</v>
      </c>
      <c r="J30" s="363">
        <f>'Non-Res Deferral Calc 2015'!J18</f>
        <v>0</v>
      </c>
      <c r="K30" s="363">
        <f>'Non-Res Deferral Calc 2015'!K18</f>
        <v>0</v>
      </c>
      <c r="L30" s="363">
        <f>'Non-Res Deferral Calc 2015'!L18</f>
        <v>0</v>
      </c>
      <c r="M30" s="363">
        <f>'Non-Res Deferral Calc 2015'!M18</f>
        <v>0</v>
      </c>
      <c r="N30" s="363">
        <f>'Non-Res Deferral Calc 2015'!N18</f>
        <v>0</v>
      </c>
      <c r="O30" s="285"/>
    </row>
    <row r="31" spans="1:17">
      <c r="A31" s="392">
        <f t="shared" si="1"/>
        <v>23</v>
      </c>
      <c r="B31" s="315" t="s">
        <v>472</v>
      </c>
      <c r="G31" s="285">
        <f>G29*G30</f>
        <v>606928.45108999999</v>
      </c>
      <c r="H31" s="285">
        <f t="shared" ref="H31:N31" si="7">H29*H30</f>
        <v>132687.89001</v>
      </c>
      <c r="I31" s="285">
        <f t="shared" si="7"/>
        <v>57556.120179999998</v>
      </c>
      <c r="J31" s="285">
        <f t="shared" si="7"/>
        <v>0</v>
      </c>
      <c r="K31" s="285">
        <f t="shared" si="7"/>
        <v>0</v>
      </c>
      <c r="L31" s="285">
        <f t="shared" si="7"/>
        <v>0</v>
      </c>
      <c r="M31" s="285">
        <f t="shared" si="7"/>
        <v>0</v>
      </c>
      <c r="N31" s="285">
        <f t="shared" si="7"/>
        <v>0</v>
      </c>
      <c r="O31" s="285">
        <f>SUM(C31:N31)</f>
        <v>797172.46127999993</v>
      </c>
    </row>
    <row r="32" spans="1:17">
      <c r="A32" s="392">
        <f t="shared" si="1"/>
        <v>24</v>
      </c>
      <c r="O32" s="285"/>
    </row>
    <row r="33" spans="1:15">
      <c r="A33" s="392">
        <f t="shared" si="1"/>
        <v>25</v>
      </c>
      <c r="B33" s="315" t="s">
        <v>474</v>
      </c>
      <c r="C33" s="285">
        <f>C27+C31</f>
        <v>9799378.8183200005</v>
      </c>
      <c r="D33" s="285">
        <f t="shared" ref="D33:N33" si="8">D27+D31</f>
        <v>7625453.3388799997</v>
      </c>
      <c r="E33" s="285">
        <f t="shared" si="8"/>
        <v>7779056.43255</v>
      </c>
      <c r="F33" s="285">
        <f t="shared" si="8"/>
        <v>6773093.0876700003</v>
      </c>
      <c r="G33" s="285">
        <f t="shared" si="8"/>
        <v>4734290.6884399997</v>
      </c>
      <c r="H33" s="285">
        <f t="shared" si="8"/>
        <v>3467331.1911599999</v>
      </c>
      <c r="I33" s="285">
        <f t="shared" si="8"/>
        <v>3101406.7534599998</v>
      </c>
      <c r="J33" s="285">
        <f t="shared" si="8"/>
        <v>3284256.9268799997</v>
      </c>
      <c r="K33" s="285">
        <f t="shared" si="8"/>
        <v>3643426.0379699995</v>
      </c>
      <c r="L33" s="285">
        <f t="shared" si="8"/>
        <v>4891950.4691699995</v>
      </c>
      <c r="M33" s="285">
        <f t="shared" si="8"/>
        <v>8568911.0552399997</v>
      </c>
      <c r="N33" s="285">
        <f t="shared" si="8"/>
        <v>12253796.529569998</v>
      </c>
      <c r="O33" s="285">
        <f>SUM(C33:N33)</f>
        <v>75922351.32931</v>
      </c>
    </row>
    <row r="34" spans="1:15">
      <c r="A34" s="392">
        <f t="shared" si="1"/>
        <v>26</v>
      </c>
      <c r="O34" s="285"/>
    </row>
    <row r="35" spans="1:15">
      <c r="A35" s="392">
        <f t="shared" si="1"/>
        <v>27</v>
      </c>
      <c r="B35" s="315" t="s">
        <v>253</v>
      </c>
      <c r="C35" s="285">
        <f>C23-C33</f>
        <v>1559218.1257428098</v>
      </c>
      <c r="D35" s="285">
        <f t="shared" ref="D35:N35" si="9">D23-D33</f>
        <v>2951716.2803033991</v>
      </c>
      <c r="E35" s="285">
        <f t="shared" si="9"/>
        <v>1730880.4725952633</v>
      </c>
      <c r="F35" s="285">
        <f t="shared" si="9"/>
        <v>516898.9561966788</v>
      </c>
      <c r="G35" s="285">
        <f t="shared" si="9"/>
        <v>722029.8288761992</v>
      </c>
      <c r="H35" s="285">
        <f t="shared" si="9"/>
        <v>761325.09433327615</v>
      </c>
      <c r="I35" s="285">
        <f t="shared" si="9"/>
        <v>677046.84464943921</v>
      </c>
      <c r="J35" s="285">
        <f t="shared" si="9"/>
        <v>271352.96895637643</v>
      </c>
      <c r="K35" s="285">
        <f t="shared" si="9"/>
        <v>292212.46030442975</v>
      </c>
      <c r="L35" s="285">
        <f t="shared" si="9"/>
        <v>1301809.3777074395</v>
      </c>
      <c r="M35" s="285">
        <f t="shared" si="9"/>
        <v>750852.62285353988</v>
      </c>
      <c r="N35" s="285">
        <f t="shared" si="9"/>
        <v>-698905.81539958902</v>
      </c>
      <c r="O35" s="285">
        <f>SUM(C35:N35)</f>
        <v>10836437.21711926</v>
      </c>
    </row>
    <row r="36" spans="1:15">
      <c r="A36" s="392">
        <f t="shared" si="1"/>
        <v>28</v>
      </c>
    </row>
    <row r="37" spans="1:15">
      <c r="A37" s="392">
        <f t="shared" si="1"/>
        <v>29</v>
      </c>
      <c r="C37" s="285"/>
      <c r="D37" s="285"/>
      <c r="E37" s="285"/>
      <c r="F37" s="285"/>
      <c r="G37" s="285"/>
      <c r="H37" s="285"/>
      <c r="I37" s="285"/>
      <c r="J37" s="285"/>
      <c r="K37" s="285"/>
      <c r="L37" s="285"/>
      <c r="M37" s="285"/>
      <c r="N37" s="285"/>
      <c r="O37" s="285"/>
    </row>
    <row r="38" spans="1:15">
      <c r="A38" s="392">
        <f t="shared" si="1"/>
        <v>30</v>
      </c>
      <c r="B38" s="438" t="s">
        <v>131</v>
      </c>
      <c r="C38" s="285"/>
      <c r="D38" s="285"/>
      <c r="E38" s="285"/>
      <c r="F38" s="285"/>
      <c r="G38" s="285"/>
      <c r="H38" s="285"/>
      <c r="I38" s="285"/>
      <c r="J38" s="285"/>
      <c r="K38" s="285"/>
      <c r="L38" s="285"/>
      <c r="M38" s="285"/>
      <c r="N38" s="285"/>
      <c r="O38" s="285"/>
    </row>
    <row r="39" spans="1:15">
      <c r="A39" s="392">
        <f t="shared" si="1"/>
        <v>31</v>
      </c>
      <c r="B39" s="315" t="s">
        <v>517</v>
      </c>
      <c r="C39" s="439">
        <f t="shared" ref="C39:H39" si="10">C21-C9</f>
        <v>-784.01122749969363</v>
      </c>
      <c r="D39" s="439">
        <f t="shared" si="10"/>
        <v>-858.39685110922437</v>
      </c>
      <c r="E39" s="439">
        <f t="shared" si="10"/>
        <v>-935.34105699195061</v>
      </c>
      <c r="F39" s="439">
        <f t="shared" si="10"/>
        <v>-1030.2810178990476</v>
      </c>
      <c r="G39" s="439">
        <f t="shared" si="10"/>
        <v>-1036.8857192205032</v>
      </c>
      <c r="H39" s="439">
        <f t="shared" si="10"/>
        <v>-1027.7869386810344</v>
      </c>
      <c r="I39" s="439">
        <f>I21-I9</f>
        <v>-1078.7462408501888</v>
      </c>
      <c r="J39" s="439">
        <f t="shared" ref="J39:N39" si="11">J21-J9</f>
        <v>-1139.6759372182423</v>
      </c>
      <c r="K39" s="439">
        <f t="shared" si="11"/>
        <v>-1213.494154965505</v>
      </c>
      <c r="L39" s="439">
        <f t="shared" si="11"/>
        <v>-1334.6000424983213</v>
      </c>
      <c r="M39" s="439">
        <f t="shared" si="11"/>
        <v>-1391.4181528480258</v>
      </c>
      <c r="N39" s="439">
        <f t="shared" si="11"/>
        <v>-1389.9573258421151</v>
      </c>
      <c r="O39" s="280"/>
    </row>
    <row r="40" spans="1:15">
      <c r="A40" s="392">
        <f t="shared" si="1"/>
        <v>32</v>
      </c>
      <c r="B40" s="315" t="s">
        <v>468</v>
      </c>
      <c r="C40" s="440">
        <f>C22-C10</f>
        <v>0</v>
      </c>
      <c r="D40" s="440">
        <f t="shared" ref="D40:N40" si="12">D22-D10</f>
        <v>0</v>
      </c>
      <c r="E40" s="440">
        <f t="shared" si="12"/>
        <v>0</v>
      </c>
      <c r="F40" s="440">
        <f t="shared" si="12"/>
        <v>0</v>
      </c>
      <c r="G40" s="440">
        <f t="shared" si="12"/>
        <v>0</v>
      </c>
      <c r="H40" s="440">
        <f t="shared" si="12"/>
        <v>0</v>
      </c>
      <c r="I40" s="440">
        <f t="shared" si="12"/>
        <v>0</v>
      </c>
      <c r="J40" s="440">
        <f t="shared" si="12"/>
        <v>0</v>
      </c>
      <c r="K40" s="440">
        <f t="shared" si="12"/>
        <v>0</v>
      </c>
      <c r="L40" s="440">
        <f t="shared" si="12"/>
        <v>0</v>
      </c>
      <c r="M40" s="440">
        <f t="shared" si="12"/>
        <v>0</v>
      </c>
      <c r="N40" s="440">
        <f t="shared" si="12"/>
        <v>0</v>
      </c>
      <c r="O40" s="283"/>
    </row>
    <row r="41" spans="1:15">
      <c r="A41" s="392">
        <f t="shared" si="1"/>
        <v>33</v>
      </c>
      <c r="B41" s="315" t="s">
        <v>469</v>
      </c>
      <c r="C41" s="285">
        <f>C23-C11</f>
        <v>-154990.12361920998</v>
      </c>
      <c r="D41" s="285">
        <f t="shared" ref="D41:N41" si="13">D23-D11</f>
        <v>-157949.46496799402</v>
      </c>
      <c r="E41" s="285">
        <f t="shared" si="13"/>
        <v>-154774.31116189621</v>
      </c>
      <c r="F41" s="285">
        <f t="shared" si="13"/>
        <v>-130824.06548276264</v>
      </c>
      <c r="G41" s="285">
        <f t="shared" si="13"/>
        <v>-98574.429799195379</v>
      </c>
      <c r="H41" s="285">
        <f t="shared" si="13"/>
        <v>-75724.948573047295</v>
      </c>
      <c r="I41" s="285">
        <f t="shared" si="13"/>
        <v>-71119.357467676047</v>
      </c>
      <c r="J41" s="285">
        <f t="shared" si="13"/>
        <v>-70790.193393424153</v>
      </c>
      <c r="K41" s="285">
        <f t="shared" si="13"/>
        <v>-83453.454842266627</v>
      </c>
      <c r="L41" s="285">
        <f t="shared" si="13"/>
        <v>-144417.90689519327</v>
      </c>
      <c r="M41" s="285">
        <f t="shared" si="13"/>
        <v>-225965.15581572987</v>
      </c>
      <c r="N41" s="285">
        <f t="shared" si="13"/>
        <v>-279124.1744432766</v>
      </c>
      <c r="O41" s="285">
        <f>SUM(C41:N41)</f>
        <v>-1647707.5864616721</v>
      </c>
    </row>
    <row r="42" spans="1:15">
      <c r="A42" s="392">
        <f t="shared" si="1"/>
        <v>34</v>
      </c>
    </row>
    <row r="43" spans="1:15">
      <c r="A43" s="392">
        <f t="shared" si="1"/>
        <v>35</v>
      </c>
      <c r="B43" s="315" t="s">
        <v>230</v>
      </c>
      <c r="C43" s="439">
        <f t="shared" ref="C43:H43" si="14">C25-C13</f>
        <v>-7641931</v>
      </c>
      <c r="D43" s="439">
        <f t="shared" si="14"/>
        <v>-12592348</v>
      </c>
      <c r="E43" s="439">
        <f t="shared" si="14"/>
        <v>-7833174</v>
      </c>
      <c r="F43" s="439">
        <f t="shared" si="14"/>
        <v>-4111115</v>
      </c>
      <c r="G43" s="439">
        <f t="shared" si="14"/>
        <v>-6806648</v>
      </c>
      <c r="H43" s="439">
        <f t="shared" si="14"/>
        <v>-5192112</v>
      </c>
      <c r="I43" s="439">
        <f>I25-I13</f>
        <v>-2429586</v>
      </c>
      <c r="J43" s="439">
        <f t="shared" ref="J43:N43" si="15">J25-J13</f>
        <v>-447329</v>
      </c>
      <c r="K43" s="439">
        <f t="shared" si="15"/>
        <v>473984</v>
      </c>
      <c r="L43" s="439">
        <f t="shared" si="15"/>
        <v>1689797</v>
      </c>
      <c r="M43" s="439">
        <f t="shared" si="15"/>
        <v>4978692</v>
      </c>
      <c r="N43" s="439">
        <f t="shared" si="15"/>
        <v>7122315</v>
      </c>
      <c r="O43" s="439">
        <f>SUM(C43:N43)</f>
        <v>-32789455</v>
      </c>
    </row>
    <row r="44" spans="1:15">
      <c r="A44" s="392">
        <f t="shared" si="1"/>
        <v>36</v>
      </c>
      <c r="B44" s="315" t="s">
        <v>516</v>
      </c>
      <c r="C44" s="286">
        <f>C26-C14</f>
        <v>-9.9500000000000144E-3</v>
      </c>
      <c r="D44" s="286">
        <f t="shared" ref="D44:N44" si="16">D26-D14</f>
        <v>-9.9500000000000144E-3</v>
      </c>
      <c r="E44" s="286">
        <f t="shared" si="16"/>
        <v>-9.9500000000000144E-3</v>
      </c>
      <c r="F44" s="286">
        <f t="shared" si="16"/>
        <v>-9.9500000000000144E-3</v>
      </c>
      <c r="G44" s="286">
        <f t="shared" si="16"/>
        <v>-2.7320000000000011E-2</v>
      </c>
      <c r="H44" s="286">
        <f t="shared" si="16"/>
        <v>-2.7320000000000011E-2</v>
      </c>
      <c r="I44" s="286">
        <f t="shared" si="16"/>
        <v>-2.7320000000000011E-2</v>
      </c>
      <c r="J44" s="286">
        <f t="shared" si="16"/>
        <v>-2.7320000000000011E-2</v>
      </c>
      <c r="K44" s="286">
        <f t="shared" si="16"/>
        <v>-2.7320000000000011E-2</v>
      </c>
      <c r="L44" s="286">
        <f t="shared" si="16"/>
        <v>-2.7320000000000011E-2</v>
      </c>
      <c r="M44" s="286">
        <f t="shared" si="16"/>
        <v>-2.7320000000000011E-2</v>
      </c>
      <c r="N44" s="286">
        <f t="shared" si="16"/>
        <v>-2.7320000000000011E-2</v>
      </c>
      <c r="O44" s="286"/>
    </row>
    <row r="45" spans="1:15">
      <c r="A45" s="392">
        <f t="shared" si="1"/>
        <v>37</v>
      </c>
      <c r="B45" s="315" t="s">
        <v>472</v>
      </c>
      <c r="C45" s="285">
        <f>C33-C15</f>
        <v>-2550015.1009599995</v>
      </c>
      <c r="D45" s="285">
        <f t="shared" ref="D45:N45" si="17">D33-D15</f>
        <v>-3896686.1180800004</v>
      </c>
      <c r="E45" s="285">
        <f t="shared" si="17"/>
        <v>-2532687.6324899998</v>
      </c>
      <c r="F45" s="285">
        <f t="shared" si="17"/>
        <v>-1425598.5070500001</v>
      </c>
      <c r="G45" s="285">
        <f t="shared" si="17"/>
        <v>-1821704.6762300003</v>
      </c>
      <c r="H45" s="285">
        <f t="shared" si="17"/>
        <v>-1738894.8450699998</v>
      </c>
      <c r="I45" s="285">
        <f t="shared" si="17"/>
        <v>-969694.19264000002</v>
      </c>
      <c r="J45" s="285">
        <f t="shared" si="17"/>
        <v>-467249.01968999999</v>
      </c>
      <c r="K45" s="285">
        <f t="shared" si="17"/>
        <v>-232235.67596000014</v>
      </c>
      <c r="L45" s="285">
        <f t="shared" si="17"/>
        <v>-1184.0715899998322</v>
      </c>
      <c r="M45" s="285">
        <f t="shared" si="17"/>
        <v>593245.34164000023</v>
      </c>
      <c r="N45" s="285">
        <f t="shared" si="17"/>
        <v>849136.33102999814</v>
      </c>
      <c r="O45" s="285">
        <f>SUM(C45:N45)</f>
        <v>-14193568.167090001</v>
      </c>
    </row>
    <row r="46" spans="1:15">
      <c r="A46" s="392">
        <f t="shared" si="1"/>
        <v>38</v>
      </c>
      <c r="O46" s="285"/>
    </row>
    <row r="47" spans="1:15">
      <c r="A47" s="392">
        <f t="shared" si="1"/>
        <v>39</v>
      </c>
      <c r="B47" s="315" t="s">
        <v>253</v>
      </c>
      <c r="C47" s="285">
        <f>C41-C45</f>
        <v>2395024.9773407895</v>
      </c>
      <c r="D47" s="285">
        <f t="shared" ref="D47:N47" si="18">D41-D45</f>
        <v>3738736.6531120064</v>
      </c>
      <c r="E47" s="285">
        <f t="shared" si="18"/>
        <v>2377913.3213281035</v>
      </c>
      <c r="F47" s="285">
        <f t="shared" si="18"/>
        <v>1294774.4415672375</v>
      </c>
      <c r="G47" s="285">
        <f t="shared" si="18"/>
        <v>1723130.246430805</v>
      </c>
      <c r="H47" s="285">
        <f t="shared" si="18"/>
        <v>1663169.8964969525</v>
      </c>
      <c r="I47" s="285">
        <f>I41-I45</f>
        <v>898574.83517232398</v>
      </c>
      <c r="J47" s="285">
        <f t="shared" si="18"/>
        <v>396458.82629657583</v>
      </c>
      <c r="K47" s="285">
        <f t="shared" si="18"/>
        <v>148782.22111773351</v>
      </c>
      <c r="L47" s="285">
        <f t="shared" si="18"/>
        <v>-143233.83530519344</v>
      </c>
      <c r="M47" s="285">
        <f t="shared" si="18"/>
        <v>-819210.4974557301</v>
      </c>
      <c r="N47" s="285">
        <f t="shared" si="18"/>
        <v>-1128260.5054732747</v>
      </c>
      <c r="O47" s="285">
        <f t="shared" ref="O47" si="19">SUM(C47:N47)</f>
        <v>12545860.580628332</v>
      </c>
    </row>
    <row r="48" spans="1:15">
      <c r="A48" s="392"/>
    </row>
    <row r="49" spans="1:2">
      <c r="A49" s="392"/>
      <c r="B49" s="315" t="s">
        <v>518</v>
      </c>
    </row>
  </sheetData>
  <mergeCells count="4">
    <mergeCell ref="A1:O1"/>
    <mergeCell ref="A2:O2"/>
    <mergeCell ref="A3:O3"/>
    <mergeCell ref="A4:O4"/>
  </mergeCells>
  <printOptions horizontalCentered="1"/>
  <pageMargins left="0.7" right="0.7" top="0.75" bottom="0.75" header="0.3" footer="0.3"/>
  <pageSetup scale="51"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R28"/>
  <sheetViews>
    <sheetView view="pageLayout" topLeftCell="A5" zoomScale="67" zoomScaleNormal="75" zoomScalePageLayoutView="67" workbookViewId="0">
      <selection activeCell="I68" sqref="I68"/>
    </sheetView>
  </sheetViews>
  <sheetFormatPr baseColWidth="10" defaultColWidth="9.1640625" defaultRowHeight="13"/>
  <cols>
    <col min="1" max="1" width="5.5" style="316" customWidth="1"/>
    <col min="2" max="2" width="35" style="316" customWidth="1"/>
    <col min="3" max="3" width="14" style="316" bestFit="1" customWidth="1"/>
    <col min="4" max="4" width="13.5" style="316" bestFit="1" customWidth="1"/>
    <col min="5" max="5" width="16" style="316" bestFit="1" customWidth="1"/>
    <col min="6" max="6" width="3.5" style="316" customWidth="1"/>
    <col min="7" max="8" width="12.6640625" style="316" bestFit="1" customWidth="1"/>
    <col min="9" max="9" width="14" style="316" bestFit="1" customWidth="1"/>
    <col min="10" max="10" width="12.6640625" style="316" bestFit="1" customWidth="1"/>
    <col min="11" max="11" width="14" style="316" bestFit="1" customWidth="1"/>
    <col min="12" max="12" width="4.5" style="316" customWidth="1"/>
    <col min="13" max="13" width="12.6640625" style="316" bestFit="1" customWidth="1"/>
    <col min="14" max="14" width="14" style="316" bestFit="1" customWidth="1"/>
    <col min="15" max="15" width="12.6640625" style="316" bestFit="1" customWidth="1"/>
    <col min="16" max="16" width="14" style="316" bestFit="1" customWidth="1"/>
    <col min="17" max="19" width="14" style="316" customWidth="1"/>
    <col min="20" max="16384" width="9.1640625" style="316"/>
  </cols>
  <sheetData>
    <row r="1" spans="1:18">
      <c r="A1" s="617" t="s">
        <v>22</v>
      </c>
      <c r="B1" s="617"/>
      <c r="C1" s="617"/>
      <c r="D1" s="617"/>
      <c r="E1" s="617"/>
      <c r="F1" s="617"/>
      <c r="G1" s="617"/>
      <c r="H1" s="617"/>
      <c r="I1" s="617"/>
      <c r="J1" s="617"/>
      <c r="K1" s="617"/>
      <c r="L1" s="617"/>
    </row>
    <row r="2" spans="1:18">
      <c r="A2" s="617" t="s">
        <v>520</v>
      </c>
      <c r="B2" s="617"/>
      <c r="C2" s="617"/>
      <c r="D2" s="617"/>
      <c r="E2" s="617"/>
      <c r="F2" s="617"/>
      <c r="G2" s="617"/>
      <c r="H2" s="617"/>
      <c r="I2" s="617"/>
      <c r="J2" s="617"/>
      <c r="K2" s="617"/>
      <c r="L2" s="617"/>
    </row>
    <row r="3" spans="1:18">
      <c r="A3" s="617" t="s">
        <v>521</v>
      </c>
      <c r="B3" s="617"/>
      <c r="C3" s="617"/>
      <c r="D3" s="617"/>
      <c r="E3" s="617"/>
      <c r="F3" s="617"/>
      <c r="G3" s="617"/>
      <c r="H3" s="617"/>
      <c r="I3" s="617"/>
      <c r="J3" s="617"/>
      <c r="K3" s="617"/>
      <c r="L3" s="617"/>
    </row>
    <row r="4" spans="1:18">
      <c r="A4" s="617" t="s">
        <v>522</v>
      </c>
      <c r="B4" s="617"/>
      <c r="C4" s="617"/>
      <c r="D4" s="617"/>
      <c r="E4" s="617"/>
      <c r="F4" s="617"/>
      <c r="G4" s="617"/>
      <c r="H4" s="617"/>
      <c r="I4" s="617"/>
      <c r="J4" s="617"/>
      <c r="K4" s="617"/>
      <c r="L4" s="617"/>
    </row>
    <row r="5" spans="1:18">
      <c r="A5" s="596"/>
      <c r="B5" s="596"/>
      <c r="C5" s="596"/>
      <c r="D5" s="596"/>
      <c r="E5" s="596"/>
      <c r="F5" s="596"/>
      <c r="G5" s="596"/>
      <c r="H5" s="596"/>
      <c r="I5" s="596"/>
      <c r="J5" s="596"/>
      <c r="K5" s="596"/>
      <c r="L5" s="596"/>
    </row>
    <row r="6" spans="1:18">
      <c r="A6" s="596"/>
      <c r="B6" s="596"/>
      <c r="C6" s="596"/>
      <c r="D6" s="596"/>
      <c r="E6" s="596"/>
      <c r="F6" s="596"/>
      <c r="G6" s="596"/>
      <c r="H6" s="596"/>
      <c r="I6" s="596"/>
      <c r="J6" s="596"/>
      <c r="K6" s="596"/>
      <c r="P6" s="596"/>
      <c r="Q6" s="596"/>
      <c r="R6" s="596"/>
    </row>
    <row r="7" spans="1:18" ht="28">
      <c r="A7" s="51" t="s">
        <v>26</v>
      </c>
      <c r="B7" s="35"/>
      <c r="C7" s="51" t="s">
        <v>27</v>
      </c>
      <c r="D7" s="51" t="s">
        <v>28</v>
      </c>
      <c r="E7" s="51" t="s">
        <v>497</v>
      </c>
      <c r="F7" s="51"/>
      <c r="G7" s="51" t="s">
        <v>523</v>
      </c>
      <c r="H7" s="51" t="s">
        <v>524</v>
      </c>
      <c r="I7" s="51" t="s">
        <v>525</v>
      </c>
      <c r="J7" s="51" t="s">
        <v>526</v>
      </c>
      <c r="K7" s="51" t="s">
        <v>527</v>
      </c>
      <c r="M7" s="51" t="s">
        <v>528</v>
      </c>
      <c r="N7" s="51" t="s">
        <v>529</v>
      </c>
      <c r="O7" s="51" t="s">
        <v>530</v>
      </c>
      <c r="P7" s="51" t="s">
        <v>531</v>
      </c>
    </row>
    <row r="8" spans="1:18">
      <c r="B8" s="598" t="s">
        <v>30</v>
      </c>
      <c r="C8" s="598" t="s">
        <v>31</v>
      </c>
      <c r="D8" s="598" t="s">
        <v>32</v>
      </c>
      <c r="E8" s="598" t="s">
        <v>532</v>
      </c>
      <c r="F8" s="598"/>
      <c r="G8" s="598" t="s">
        <v>145</v>
      </c>
      <c r="H8" s="598" t="s">
        <v>291</v>
      </c>
      <c r="I8" s="598" t="s">
        <v>292</v>
      </c>
      <c r="J8" s="598" t="s">
        <v>293</v>
      </c>
      <c r="K8" s="598" t="s">
        <v>294</v>
      </c>
      <c r="M8" s="598" t="s">
        <v>293</v>
      </c>
      <c r="N8" s="598" t="s">
        <v>294</v>
      </c>
      <c r="O8" s="598" t="s">
        <v>360</v>
      </c>
      <c r="P8" s="598" t="s">
        <v>361</v>
      </c>
    </row>
    <row r="9" spans="1:18">
      <c r="A9" s="598">
        <v>1</v>
      </c>
      <c r="B9" s="34" t="s">
        <v>533</v>
      </c>
      <c r="C9" s="598"/>
      <c r="D9" s="598"/>
      <c r="G9" s="598"/>
      <c r="H9" s="598"/>
      <c r="I9" s="598"/>
      <c r="J9" s="598"/>
      <c r="K9" s="598"/>
      <c r="M9" s="598"/>
      <c r="N9" s="598"/>
      <c r="O9" s="598"/>
      <c r="P9" s="598"/>
    </row>
    <row r="10" spans="1:18">
      <c r="A10" s="598">
        <f>A9+1</f>
        <v>2</v>
      </c>
      <c r="B10" s="316" t="s">
        <v>534</v>
      </c>
      <c r="C10" s="598" t="s">
        <v>35</v>
      </c>
      <c r="D10" s="270">
        <f>'2013 ERF - Rate Design'!J11+'2013 ERF - Rate Design'!J16</f>
        <v>291431765.88</v>
      </c>
      <c r="E10" s="270">
        <f>SUM(G10:K10)</f>
        <v>106613183.72</v>
      </c>
      <c r="F10" s="270"/>
      <c r="G10" s="270">
        <f>'2013 ERF - Rate Design'!J25</f>
        <v>83796596.120000005</v>
      </c>
      <c r="H10" s="270">
        <f>'2013 ERF - Rate Design'!J47</f>
        <v>17982696.650000002</v>
      </c>
      <c r="I10" s="270">
        <f>'2013 ERF - Rate Design'!J60</f>
        <v>2137999.2400000002</v>
      </c>
      <c r="J10" s="270">
        <f>'2013 ERF - Rate Design'!J97</f>
        <v>2686369.4299999997</v>
      </c>
      <c r="K10" s="270">
        <f>'2013 ERF - Rate Design'!J108</f>
        <v>9522.2800000000007</v>
      </c>
      <c r="M10" s="270">
        <f>'2013 ERF - Rate Design'!J73</f>
        <v>1813582.88</v>
      </c>
      <c r="N10" s="270">
        <f>'2013 ERF - Rate Design'!J85</f>
        <v>7201934.79</v>
      </c>
      <c r="O10" s="270">
        <f>'2013 ERF - Rate Design'!J124</f>
        <v>1816224.1600000001</v>
      </c>
      <c r="P10" s="270">
        <f>'2013 ERF - Rate Design'!J139</f>
        <v>4233525.8900000006</v>
      </c>
    </row>
    <row r="11" spans="1:18">
      <c r="A11" s="598">
        <f t="shared" ref="A11:A21" si="0">A10+1</f>
        <v>3</v>
      </c>
      <c r="B11" s="316" t="s">
        <v>535</v>
      </c>
      <c r="C11" s="598" t="s">
        <v>35</v>
      </c>
      <c r="D11" s="52">
        <f>'2013 ERF - Rate Design'!J9+'2013 ERF - Rate Design'!J14</f>
        <v>88147473.959999993</v>
      </c>
      <c r="E11" s="270">
        <f>SUM(G11:K11)</f>
        <v>28582722.169999998</v>
      </c>
      <c r="F11" s="52"/>
      <c r="G11" s="52">
        <f>'2013 ERF - Rate Design'!J23</f>
        <v>21974316.579999998</v>
      </c>
      <c r="H11" s="52">
        <f>'2013 ERF - Rate Design'!J38+'2013 ERF - Rate Design'!J39</f>
        <v>5598760.8300000001</v>
      </c>
      <c r="I11" s="52">
        <f>'2013 ERF - Rate Design'!J50+'2013 ERF - Rate Design'!J51</f>
        <v>406529.32</v>
      </c>
      <c r="J11" s="52">
        <f>'2013 ERF - Rate Design'!J88+'2013 ERF - Rate Design'!J91</f>
        <v>597642.6</v>
      </c>
      <c r="K11" s="52">
        <f>'2013 ERF - Rate Design'!J100+'2013 ERF - Rate Design'!J102</f>
        <v>5472.84</v>
      </c>
      <c r="M11" s="52">
        <f>'2013 ERF - Rate Design'!J63+'2013 ERF - Rate Design'!J66</f>
        <v>268560.34999999998</v>
      </c>
      <c r="N11" s="52">
        <f>'2013 ERF - Rate Design'!J76+'2013 ERF - Rate Design'!J78</f>
        <v>1275191.68</v>
      </c>
      <c r="O11" s="52">
        <f>'2013 ERF - Rate Design'!J111+'2013 ERF - Rate Design'!J114</f>
        <v>505635.68</v>
      </c>
      <c r="P11" s="52">
        <f>'2013 ERF - Rate Design'!J127+'2013 ERF - Rate Design'!J129</f>
        <v>1027432.51</v>
      </c>
    </row>
    <row r="12" spans="1:18">
      <c r="A12" s="598">
        <f t="shared" si="0"/>
        <v>4</v>
      </c>
      <c r="B12" s="316" t="s">
        <v>536</v>
      </c>
      <c r="C12" s="598" t="s">
        <v>537</v>
      </c>
      <c r="D12" s="270">
        <f>D10-D11</f>
        <v>203284291.92000002</v>
      </c>
      <c r="E12" s="270">
        <f>E10-E11</f>
        <v>78030461.549999997</v>
      </c>
      <c r="F12" s="270"/>
      <c r="G12" s="270">
        <f t="shared" ref="G12:K12" si="1">G10-G11</f>
        <v>61822279.540000007</v>
      </c>
      <c r="H12" s="270">
        <f t="shared" si="1"/>
        <v>12383935.820000002</v>
      </c>
      <c r="I12" s="270">
        <f t="shared" si="1"/>
        <v>1731469.9200000002</v>
      </c>
      <c r="J12" s="270">
        <f t="shared" si="1"/>
        <v>2088726.8299999996</v>
      </c>
      <c r="K12" s="270">
        <f t="shared" si="1"/>
        <v>4049.4400000000005</v>
      </c>
      <c r="M12" s="270">
        <f>M10-M11</f>
        <v>1545022.5299999998</v>
      </c>
      <c r="N12" s="270">
        <f>N10-N11</f>
        <v>5926743.1100000003</v>
      </c>
      <c r="O12" s="270">
        <f>O10-O11</f>
        <v>1310588.4800000002</v>
      </c>
      <c r="P12" s="270">
        <f>P10-P11</f>
        <v>3206093.3800000008</v>
      </c>
    </row>
    <row r="13" spans="1:18">
      <c r="A13" s="598">
        <f t="shared" si="0"/>
        <v>5</v>
      </c>
      <c r="C13" s="598"/>
    </row>
    <row r="14" spans="1:18">
      <c r="A14" s="598">
        <f t="shared" si="0"/>
        <v>6</v>
      </c>
      <c r="B14" s="316" t="s">
        <v>538</v>
      </c>
      <c r="C14" s="598" t="s">
        <v>35</v>
      </c>
      <c r="D14" s="267">
        <f>'2013 ERF - Rate Design'!E10+'2013 ERF - Rate Design'!E15</f>
        <v>559688037</v>
      </c>
      <c r="E14" s="267">
        <f>SUM(G14:K14)</f>
        <v>304023625</v>
      </c>
      <c r="F14" s="267"/>
      <c r="G14" s="267">
        <f>'2013 ERF - Rate Design'!E24</f>
        <v>202815693</v>
      </c>
      <c r="H14" s="267">
        <f>'2013 ERF - Rate Design'!E46</f>
        <v>77974027</v>
      </c>
      <c r="I14" s="267">
        <f>'2013 ERF - Rate Design'!E59</f>
        <v>10889483</v>
      </c>
      <c r="J14" s="267">
        <f>'2013 ERF - Rate Design'!E96</f>
        <v>12317849</v>
      </c>
      <c r="K14" s="267">
        <f>'2013 ERF - Rate Design'!E107</f>
        <v>26573</v>
      </c>
      <c r="M14" s="267">
        <f>'2013 ERF - Rate Design'!E72</f>
        <v>17344756</v>
      </c>
      <c r="N14" s="267">
        <f>'2013 ERF - Rate Design'!E84</f>
        <v>76567132</v>
      </c>
      <c r="O14" s="267">
        <f>'2013 ERF - Rate Design'!E123</f>
        <v>26567234</v>
      </c>
      <c r="P14" s="267">
        <f>'2013 ERF - Rate Design'!E138</f>
        <v>87780838</v>
      </c>
    </row>
    <row r="15" spans="1:18">
      <c r="A15" s="598">
        <f t="shared" si="0"/>
        <v>7</v>
      </c>
      <c r="C15" s="598"/>
      <c r="E15" s="267"/>
    </row>
    <row r="16" spans="1:18">
      <c r="A16" s="598">
        <f t="shared" si="0"/>
        <v>8</v>
      </c>
      <c r="B16" s="316" t="s">
        <v>539</v>
      </c>
      <c r="C16" s="598" t="s">
        <v>35</v>
      </c>
      <c r="D16" s="270">
        <f>'2013 ERF - Rate Design'!J9+'2013 ERF - Rate Design'!J14</f>
        <v>88147473.959999993</v>
      </c>
      <c r="E16" s="267">
        <f>SUM(G16:K16)</f>
        <v>25502351.289999999</v>
      </c>
      <c r="F16" s="270"/>
      <c r="G16" s="270">
        <f>'2013 ERF - Rate Design'!J23</f>
        <v>21974316.579999998</v>
      </c>
      <c r="H16" s="270">
        <f>'2013 ERF - Rate Design'!J38</f>
        <v>2680370.5499999998</v>
      </c>
      <c r="I16" s="270">
        <f>'2013 ERF - Rate Design'!J50</f>
        <v>317030.2</v>
      </c>
      <c r="J16" s="270">
        <f>'2013 ERF - Rate Design'!J88</f>
        <v>525161.12</v>
      </c>
      <c r="K16" s="270">
        <f>'2013 ERF - Rate Design'!J100</f>
        <v>5472.84</v>
      </c>
      <c r="M16" s="270">
        <f>'2013 ERF - Rate Design'!J63</f>
        <v>222693.18</v>
      </c>
      <c r="N16" s="270">
        <f>'2013 ERF - Rate Design'!J76</f>
        <v>1061730.67</v>
      </c>
      <c r="O16" s="270">
        <f>'2013 ERF - Rate Design'!J111</f>
        <v>48364.68</v>
      </c>
      <c r="P16" s="270">
        <f>'2013 ERF - Rate Design'!J127</f>
        <v>108706.32</v>
      </c>
    </row>
    <row r="17" spans="1:4">
      <c r="A17" s="598">
        <f t="shared" si="0"/>
        <v>9</v>
      </c>
    </row>
    <row r="18" spans="1:4">
      <c r="A18" s="598">
        <f t="shared" si="0"/>
        <v>10</v>
      </c>
      <c r="D18" s="267"/>
    </row>
    <row r="19" spans="1:4">
      <c r="A19" s="598">
        <f t="shared" si="0"/>
        <v>11</v>
      </c>
      <c r="B19" s="316" t="s">
        <v>540</v>
      </c>
      <c r="D19" s="269">
        <f>D12/D14</f>
        <v>0.36321000000219766</v>
      </c>
    </row>
    <row r="20" spans="1:4">
      <c r="A20" s="598">
        <f t="shared" si="0"/>
        <v>12</v>
      </c>
      <c r="B20" s="316" t="s">
        <v>541</v>
      </c>
      <c r="D20" s="269">
        <f>E12/E14</f>
        <v>0.25665920386943614</v>
      </c>
    </row>
    <row r="21" spans="1:4">
      <c r="A21" s="598">
        <f t="shared" si="0"/>
        <v>13</v>
      </c>
      <c r="B21" s="316" t="s">
        <v>542</v>
      </c>
      <c r="D21" s="269">
        <f>SUM(M12:P12)/SUM(M14:P14)</f>
        <v>5.756482186974396E-2</v>
      </c>
    </row>
    <row r="22" spans="1:4">
      <c r="A22" s="598"/>
    </row>
    <row r="23" spans="1:4">
      <c r="A23" s="598"/>
    </row>
    <row r="24" spans="1:4">
      <c r="A24" s="598"/>
      <c r="D24" s="269"/>
    </row>
    <row r="25" spans="1:4">
      <c r="A25" s="598"/>
    </row>
    <row r="26" spans="1:4">
      <c r="A26" s="598"/>
    </row>
    <row r="27" spans="1:4">
      <c r="A27" s="598"/>
      <c r="D27" s="269"/>
    </row>
    <row r="28" spans="1:4">
      <c r="A28" s="598"/>
      <c r="D28" s="269"/>
    </row>
  </sheetData>
  <mergeCells count="4">
    <mergeCell ref="A1:L1"/>
    <mergeCell ref="A2:L2"/>
    <mergeCell ref="A3:L3"/>
    <mergeCell ref="A4:L4"/>
  </mergeCells>
  <printOptions horizontalCentered="1"/>
  <pageMargins left="0.7" right="0.7" top="0.75" bottom="0.75" header="0.3" footer="0.3"/>
  <pageSetup fitToWidth="2"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AC234"/>
  <sheetViews>
    <sheetView view="pageBreakPreview" topLeftCell="A178" zoomScale="44" zoomScaleNormal="43" zoomScalePageLayoutView="50" workbookViewId="0">
      <selection activeCell="I68" sqref="I68"/>
    </sheetView>
  </sheetViews>
  <sheetFormatPr baseColWidth="10" defaultColWidth="9.1640625" defaultRowHeight="15"/>
  <cols>
    <col min="1" max="1" width="3.1640625" style="56" customWidth="1"/>
    <col min="2" max="2" width="6.6640625" style="56" customWidth="1"/>
    <col min="3" max="3" width="34.1640625" style="134" customWidth="1"/>
    <col min="4" max="4" width="9.83203125" style="134" bestFit="1" customWidth="1"/>
    <col min="5" max="5" width="13.33203125" style="134" bestFit="1" customWidth="1"/>
    <col min="6" max="6" width="10.6640625" style="134" bestFit="1" customWidth="1"/>
    <col min="7" max="7" width="16" style="134" bestFit="1" customWidth="1"/>
    <col min="8" max="8" width="2.5" style="56" customWidth="1"/>
    <col min="9" max="9" width="10.6640625" style="64" bestFit="1" customWidth="1"/>
    <col min="10" max="10" width="16" style="56" bestFit="1" customWidth="1"/>
    <col min="11" max="11" width="3.1640625" style="56" customWidth="1"/>
    <col min="12" max="12" width="11.5" style="56" bestFit="1" customWidth="1"/>
    <col min="13" max="13" width="7.83203125" style="56" bestFit="1" customWidth="1"/>
    <col min="14" max="14" width="1.6640625" style="56" customWidth="1"/>
    <col min="15" max="15" width="14.83203125" style="56" bestFit="1" customWidth="1"/>
    <col min="16" max="16" width="2" style="56" customWidth="1"/>
    <col min="17" max="17" width="15.5" style="56" bestFit="1" customWidth="1"/>
    <col min="18" max="16384" width="9.1640625" style="56"/>
  </cols>
  <sheetData>
    <row r="1" spans="2:29">
      <c r="B1" s="53" t="s">
        <v>22</v>
      </c>
      <c r="C1" s="57"/>
      <c r="D1" s="57"/>
      <c r="E1" s="57"/>
      <c r="F1" s="57"/>
      <c r="G1" s="57"/>
      <c r="H1" s="57"/>
      <c r="I1" s="57"/>
      <c r="J1" s="57"/>
      <c r="K1" s="57"/>
      <c r="L1" s="57"/>
      <c r="M1" s="57"/>
      <c r="N1" s="57"/>
      <c r="O1" s="54"/>
      <c r="P1" s="54"/>
      <c r="Q1" s="54"/>
      <c r="R1" s="70"/>
      <c r="S1" s="70"/>
      <c r="T1" s="55"/>
      <c r="U1" s="70"/>
      <c r="V1" s="70"/>
      <c r="W1" s="70"/>
      <c r="X1" s="70"/>
      <c r="Y1" s="70"/>
      <c r="Z1" s="70"/>
      <c r="AA1" s="97"/>
      <c r="AB1" s="97"/>
      <c r="AC1" s="97"/>
    </row>
    <row r="2" spans="2:29">
      <c r="B2" s="53" t="s">
        <v>543</v>
      </c>
      <c r="C2" s="57"/>
      <c r="D2" s="57"/>
      <c r="E2" s="57"/>
      <c r="F2" s="57"/>
      <c r="G2" s="57"/>
      <c r="H2" s="57"/>
      <c r="I2" s="57"/>
      <c r="J2" s="57"/>
      <c r="K2" s="57"/>
      <c r="L2" s="57"/>
      <c r="M2" s="57"/>
      <c r="N2" s="57"/>
      <c r="O2" s="54"/>
      <c r="P2" s="54"/>
      <c r="Q2" s="54"/>
      <c r="R2" s="70"/>
      <c r="S2" s="70"/>
      <c r="T2" s="55"/>
      <c r="U2" s="70"/>
      <c r="V2" s="70"/>
      <c r="W2" s="70"/>
      <c r="X2" s="70"/>
      <c r="Y2" s="70"/>
      <c r="Z2" s="70"/>
      <c r="AA2" s="97"/>
      <c r="AB2" s="97"/>
      <c r="AC2" s="97"/>
    </row>
    <row r="3" spans="2:29">
      <c r="B3" s="53" t="s">
        <v>521</v>
      </c>
      <c r="C3" s="57"/>
      <c r="D3" s="57"/>
      <c r="E3" s="57"/>
      <c r="F3" s="57"/>
      <c r="G3" s="57"/>
      <c r="H3" s="57"/>
      <c r="I3" s="57"/>
      <c r="J3" s="57"/>
      <c r="K3" s="57"/>
      <c r="L3" s="57"/>
      <c r="M3" s="57"/>
      <c r="N3" s="57"/>
      <c r="O3" s="54"/>
      <c r="P3" s="54"/>
      <c r="Q3" s="58"/>
      <c r="R3" s="79"/>
      <c r="S3" s="70"/>
      <c r="T3" s="55"/>
      <c r="U3" s="70"/>
      <c r="V3" s="70"/>
      <c r="W3" s="70"/>
      <c r="X3" s="70"/>
      <c r="Y3" s="70"/>
      <c r="Z3" s="70"/>
      <c r="AA3" s="97"/>
      <c r="AB3" s="97"/>
      <c r="AC3" s="97"/>
    </row>
    <row r="4" spans="2:29">
      <c r="B4" s="59" t="s">
        <v>544</v>
      </c>
      <c r="C4" s="59"/>
      <c r="D4" s="59"/>
      <c r="E4" s="59"/>
      <c r="F4" s="59"/>
      <c r="G4" s="59"/>
      <c r="H4" s="57"/>
      <c r="I4" s="57"/>
      <c r="J4" s="57"/>
      <c r="K4" s="57"/>
      <c r="L4" s="57"/>
      <c r="M4" s="57"/>
      <c r="N4" s="57"/>
      <c r="O4" s="60"/>
      <c r="P4" s="60"/>
      <c r="Q4" s="60"/>
      <c r="R4" s="61"/>
      <c r="S4" s="61"/>
      <c r="T4" s="62"/>
      <c r="U4" s="61"/>
      <c r="V4" s="61"/>
      <c r="W4" s="61"/>
      <c r="X4" s="61"/>
      <c r="Y4" s="61"/>
      <c r="Z4" s="61"/>
      <c r="AA4" s="63"/>
      <c r="AB4" s="63"/>
      <c r="AC4" s="63"/>
    </row>
    <row r="5" spans="2:29">
      <c r="B5" s="59"/>
      <c r="C5" s="59"/>
      <c r="D5" s="59"/>
      <c r="E5" s="59"/>
      <c r="F5" s="59"/>
      <c r="G5" s="59"/>
      <c r="H5" s="57"/>
      <c r="I5" s="57"/>
      <c r="J5" s="57"/>
      <c r="K5" s="57"/>
      <c r="L5" s="57"/>
      <c r="M5" s="57"/>
      <c r="N5" s="57"/>
      <c r="O5" s="60"/>
      <c r="P5" s="60"/>
      <c r="Q5" s="60"/>
      <c r="R5" s="61"/>
      <c r="S5" s="61"/>
      <c r="T5" s="62"/>
      <c r="U5" s="61"/>
      <c r="V5" s="61"/>
      <c r="W5" s="61"/>
      <c r="X5" s="61"/>
      <c r="Y5" s="61"/>
      <c r="Z5" s="61"/>
      <c r="AA5" s="63"/>
      <c r="AB5" s="63"/>
      <c r="AC5" s="63"/>
    </row>
    <row r="6" spans="2:29" s="64" customFormat="1">
      <c r="B6" s="97"/>
      <c r="C6" s="65"/>
      <c r="D6" s="65"/>
      <c r="E6" s="66" t="s">
        <v>545</v>
      </c>
      <c r="F6" s="67" t="s">
        <v>546</v>
      </c>
      <c r="G6" s="68"/>
      <c r="H6" s="69"/>
      <c r="I6" s="67" t="s">
        <v>547</v>
      </c>
      <c r="J6" s="68"/>
      <c r="K6" s="70"/>
      <c r="L6" s="67" t="s">
        <v>288</v>
      </c>
      <c r="M6" s="67"/>
      <c r="N6" s="71"/>
      <c r="O6" s="65" t="s">
        <v>548</v>
      </c>
      <c r="P6" s="65"/>
      <c r="Q6" s="65" t="s">
        <v>549</v>
      </c>
      <c r="R6" s="70"/>
      <c r="S6" s="70"/>
      <c r="T6" s="70"/>
      <c r="U6" s="70"/>
      <c r="V6" s="70"/>
      <c r="W6" s="70"/>
      <c r="X6" s="70"/>
      <c r="Y6" s="70"/>
      <c r="Z6" s="70"/>
      <c r="AA6" s="97"/>
      <c r="AB6" s="97"/>
      <c r="AC6" s="97"/>
    </row>
    <row r="7" spans="2:29" s="64" customFormat="1">
      <c r="B7" s="72"/>
      <c r="C7" s="73" t="s">
        <v>448</v>
      </c>
      <c r="D7" s="73" t="s">
        <v>173</v>
      </c>
      <c r="E7" s="74" t="s">
        <v>550</v>
      </c>
      <c r="F7" s="73" t="s">
        <v>174</v>
      </c>
      <c r="G7" s="75" t="s">
        <v>551</v>
      </c>
      <c r="H7" s="76"/>
      <c r="I7" s="74" t="s">
        <v>174</v>
      </c>
      <c r="J7" s="75" t="s">
        <v>551</v>
      </c>
      <c r="K7" s="70"/>
      <c r="L7" s="77" t="s">
        <v>290</v>
      </c>
      <c r="M7" s="78" t="s">
        <v>284</v>
      </c>
      <c r="N7" s="79"/>
      <c r="O7" s="73" t="s">
        <v>177</v>
      </c>
      <c r="P7" s="65"/>
      <c r="Q7" s="73" t="s">
        <v>288</v>
      </c>
      <c r="R7" s="70"/>
      <c r="S7" s="70"/>
      <c r="T7" s="70"/>
      <c r="U7" s="70"/>
      <c r="V7" s="70"/>
      <c r="W7" s="70"/>
      <c r="X7" s="70"/>
      <c r="Y7" s="70"/>
      <c r="Z7" s="70"/>
      <c r="AA7" s="97"/>
      <c r="AB7" s="97"/>
      <c r="AC7" s="97"/>
    </row>
    <row r="8" spans="2:29" s="64" customFormat="1">
      <c r="B8" s="96" t="s">
        <v>257</v>
      </c>
      <c r="C8" s="97"/>
      <c r="D8" s="96"/>
      <c r="E8" s="99"/>
      <c r="F8" s="99"/>
      <c r="G8" s="101"/>
      <c r="H8" s="80"/>
      <c r="I8" s="99"/>
      <c r="J8" s="101"/>
      <c r="K8" s="70"/>
      <c r="L8" s="70"/>
      <c r="M8" s="70"/>
      <c r="N8" s="79"/>
      <c r="O8" s="70"/>
      <c r="P8" s="79"/>
      <c r="Q8" s="97"/>
      <c r="R8" s="70"/>
      <c r="S8" s="70"/>
      <c r="T8" s="70"/>
      <c r="U8" s="70"/>
      <c r="V8" s="70"/>
      <c r="W8" s="70"/>
      <c r="X8" s="70"/>
      <c r="Y8" s="70"/>
      <c r="Z8" s="70"/>
      <c r="AA8" s="97"/>
      <c r="AB8" s="97"/>
      <c r="AC8" s="97"/>
    </row>
    <row r="9" spans="2:29" s="64" customFormat="1">
      <c r="B9" s="97"/>
      <c r="C9" s="103" t="s">
        <v>3</v>
      </c>
      <c r="D9" s="103" t="s">
        <v>453</v>
      </c>
      <c r="E9" s="104">
        <v>8566289</v>
      </c>
      <c r="F9" s="115">
        <v>10.34</v>
      </c>
      <c r="G9" s="101">
        <f>SUM(+$E9*F9)</f>
        <v>88575428.260000005</v>
      </c>
      <c r="H9" s="80"/>
      <c r="I9" s="116">
        <f>ROUND(F9*(1+Q14),2)</f>
        <v>10.29</v>
      </c>
      <c r="J9" s="101">
        <f>SUM(+$E9*I9)</f>
        <v>88147113.809999987</v>
      </c>
      <c r="K9" s="70"/>
      <c r="L9" s="81">
        <f>J9-G9</f>
        <v>-428314.45000001788</v>
      </c>
      <c r="M9" s="82">
        <f>IF(G9&lt;&gt;0,L9/G9,0)</f>
        <v>-4.8355899419731223E-3</v>
      </c>
      <c r="N9" s="82"/>
      <c r="O9" s="83">
        <f>I9-F9</f>
        <v>-5.0000000000000711E-2</v>
      </c>
      <c r="P9" s="70"/>
      <c r="Q9" s="84" t="s">
        <v>552</v>
      </c>
      <c r="R9" s="70"/>
      <c r="S9" s="70"/>
      <c r="T9" s="70"/>
      <c r="U9" s="70"/>
      <c r="V9" s="70"/>
      <c r="W9" s="70"/>
      <c r="X9" s="70"/>
      <c r="Y9" s="70"/>
      <c r="Z9" s="70"/>
      <c r="AA9" s="97"/>
      <c r="AB9" s="97"/>
      <c r="AC9" s="97"/>
    </row>
    <row r="10" spans="2:29" s="64" customFormat="1">
      <c r="B10" s="97"/>
      <c r="C10" s="106" t="s">
        <v>181</v>
      </c>
      <c r="D10" s="106" t="s">
        <v>230</v>
      </c>
      <c r="E10" s="104">
        <v>559686814</v>
      </c>
      <c r="F10" s="107">
        <v>0.36492000000000002</v>
      </c>
      <c r="G10" s="101">
        <f>ROUND($E10*F10,2)</f>
        <v>204240912.16</v>
      </c>
      <c r="H10" s="106"/>
      <c r="I10" s="112">
        <f>ROUND(F10*(1+Q14),5)</f>
        <v>0.36320999999999998</v>
      </c>
      <c r="J10" s="101">
        <f>ROUND($E10*I10,2)</f>
        <v>203283847.71000001</v>
      </c>
      <c r="K10" s="97"/>
      <c r="L10" s="81">
        <f>J10-G10</f>
        <v>-957064.44999998808</v>
      </c>
      <c r="M10" s="82">
        <f>IF(G10&lt;&gt;0,L10/G10,0)</f>
        <v>-4.6859585568744169E-3</v>
      </c>
      <c r="N10" s="82"/>
      <c r="O10" s="85">
        <f>I10-F10</f>
        <v>-1.7100000000000448E-3</v>
      </c>
      <c r="P10" s="97"/>
      <c r="Q10" s="86">
        <v>-1385873.4725088268</v>
      </c>
      <c r="R10" s="97"/>
      <c r="S10" s="97"/>
      <c r="T10" s="97"/>
      <c r="U10" s="97"/>
      <c r="V10" s="97"/>
      <c r="W10" s="97"/>
      <c r="X10" s="97"/>
      <c r="Y10" s="97"/>
      <c r="Z10" s="97"/>
      <c r="AA10" s="97"/>
      <c r="AB10" s="97"/>
      <c r="AC10" s="97"/>
    </row>
    <row r="11" spans="2:29" s="64" customFormat="1">
      <c r="B11" s="97"/>
      <c r="C11" s="98" t="s">
        <v>432</v>
      </c>
      <c r="D11" s="98"/>
      <c r="E11" s="108"/>
      <c r="F11" s="99"/>
      <c r="G11" s="117">
        <f>SUM(G9:G10)</f>
        <v>292816340.42000002</v>
      </c>
      <c r="H11" s="106"/>
      <c r="I11" s="99"/>
      <c r="J11" s="117">
        <f>SUM(J9:J10)</f>
        <v>291430961.51999998</v>
      </c>
      <c r="K11" s="97"/>
      <c r="L11" s="117">
        <f>SUM(L9:L10)</f>
        <v>-1385378.900000006</v>
      </c>
      <c r="M11" s="82">
        <f>IF(G11&lt;&gt;0,L11/G11,0)</f>
        <v>-4.7312212768347997E-3</v>
      </c>
      <c r="N11" s="82"/>
      <c r="O11" s="97"/>
      <c r="P11" s="97"/>
      <c r="Q11" s="87" t="s">
        <v>553</v>
      </c>
      <c r="R11" s="97"/>
      <c r="S11" s="97"/>
      <c r="T11" s="97"/>
      <c r="U11" s="97"/>
      <c r="V11" s="97"/>
      <c r="W11" s="97"/>
      <c r="X11" s="97"/>
      <c r="Y11" s="97"/>
      <c r="Z11" s="97"/>
      <c r="AA11" s="97"/>
      <c r="AB11" s="97"/>
      <c r="AC11" s="97"/>
    </row>
    <row r="12" spans="2:29" s="64" customFormat="1">
      <c r="B12" s="97"/>
      <c r="C12" s="98"/>
      <c r="D12" s="98"/>
      <c r="E12" s="104"/>
      <c r="F12" s="99"/>
      <c r="G12" s="101"/>
      <c r="H12" s="88"/>
      <c r="I12" s="99"/>
      <c r="J12" s="101"/>
      <c r="K12" s="97"/>
      <c r="L12" s="97"/>
      <c r="M12" s="97"/>
      <c r="N12" s="97"/>
      <c r="O12" s="97"/>
      <c r="P12" s="97"/>
      <c r="Q12" s="89">
        <f>L11+L16+L19-Q10</f>
        <v>459.6325088206213</v>
      </c>
      <c r="R12" s="97"/>
      <c r="S12" s="97"/>
      <c r="T12" s="106"/>
      <c r="U12" s="97"/>
      <c r="V12" s="97"/>
      <c r="W12" s="97"/>
      <c r="X12" s="97"/>
      <c r="Y12" s="97"/>
      <c r="Z12" s="97"/>
      <c r="AA12" s="97"/>
      <c r="AB12" s="97"/>
      <c r="AC12" s="97"/>
    </row>
    <row r="13" spans="2:29" s="64" customFormat="1">
      <c r="B13" s="111" t="s">
        <v>258</v>
      </c>
      <c r="C13" s="97"/>
      <c r="D13" s="111"/>
      <c r="E13" s="99"/>
      <c r="F13" s="99"/>
      <c r="G13" s="101"/>
      <c r="H13" s="106"/>
      <c r="I13" s="99"/>
      <c r="J13" s="101"/>
      <c r="K13" s="97"/>
      <c r="L13" s="97"/>
      <c r="M13" s="97"/>
      <c r="N13" s="97"/>
      <c r="O13" s="97"/>
      <c r="P13" s="97"/>
      <c r="Q13" s="87" t="s">
        <v>554</v>
      </c>
      <c r="R13" s="97"/>
      <c r="S13" s="97"/>
      <c r="T13" s="106"/>
      <c r="U13" s="97"/>
      <c r="V13" s="97"/>
      <c r="W13" s="97"/>
      <c r="X13" s="97"/>
      <c r="Y13" s="97"/>
      <c r="Z13" s="97"/>
      <c r="AA13" s="97"/>
      <c r="AB13" s="97"/>
      <c r="AC13" s="97"/>
    </row>
    <row r="14" spans="2:29" s="90" customFormat="1">
      <c r="B14" s="120"/>
      <c r="C14" s="103" t="s">
        <v>3</v>
      </c>
      <c r="D14" s="103" t="s">
        <v>453</v>
      </c>
      <c r="E14" s="104">
        <v>35</v>
      </c>
      <c r="F14" s="116">
        <f>F9</f>
        <v>10.34</v>
      </c>
      <c r="G14" s="105">
        <f>SUM($E14*F14)</f>
        <v>361.9</v>
      </c>
      <c r="H14" s="131"/>
      <c r="I14" s="116">
        <f>I9</f>
        <v>10.29</v>
      </c>
      <c r="J14" s="105">
        <f>SUM($E14*I14)</f>
        <v>360.15</v>
      </c>
      <c r="K14" s="120"/>
      <c r="L14" s="81">
        <f t="shared" ref="L14:L16" si="0">J14-G14</f>
        <v>-1.75</v>
      </c>
      <c r="M14" s="82">
        <f t="shared" ref="M14:M16" si="1">IF(G14&lt;&gt;0,L14/G14,0)</f>
        <v>-4.8355899419729211E-3</v>
      </c>
      <c r="N14" s="82"/>
      <c r="O14" s="83">
        <f>I14-F14</f>
        <v>-5.0000000000000711E-2</v>
      </c>
      <c r="P14" s="120"/>
      <c r="Q14" s="91">
        <v>-4.6800000000000001E-3</v>
      </c>
      <c r="R14" s="120"/>
      <c r="S14" s="120"/>
      <c r="T14" s="99"/>
      <c r="U14" s="120"/>
      <c r="V14" s="120"/>
      <c r="W14" s="120"/>
      <c r="X14" s="120"/>
      <c r="Y14" s="120"/>
      <c r="Z14" s="120"/>
      <c r="AA14" s="120"/>
      <c r="AB14" s="120"/>
      <c r="AC14" s="120"/>
    </row>
    <row r="15" spans="2:29" s="90" customFormat="1">
      <c r="B15" s="120"/>
      <c r="C15" s="106" t="s">
        <v>181</v>
      </c>
      <c r="D15" s="106" t="s">
        <v>230</v>
      </c>
      <c r="E15" s="104">
        <v>1223</v>
      </c>
      <c r="F15" s="112">
        <f>F10</f>
        <v>0.36492000000000002</v>
      </c>
      <c r="G15" s="105">
        <f>ROUND($E15*F15,2)</f>
        <v>446.3</v>
      </c>
      <c r="H15" s="131"/>
      <c r="I15" s="112">
        <f>I10</f>
        <v>0.36320999999999998</v>
      </c>
      <c r="J15" s="105">
        <f>ROUND($E15*I15,2)</f>
        <v>444.21</v>
      </c>
      <c r="K15" s="120"/>
      <c r="L15" s="81">
        <f t="shared" si="0"/>
        <v>-2.0900000000000318</v>
      </c>
      <c r="M15" s="82">
        <f t="shared" si="1"/>
        <v>-4.6829486892225672E-3</v>
      </c>
      <c r="N15" s="82"/>
      <c r="O15" s="85">
        <f>I15-F15</f>
        <v>-1.7100000000000448E-3</v>
      </c>
      <c r="P15" s="120"/>
      <c r="Q15" s="120"/>
      <c r="R15" s="120"/>
      <c r="S15" s="120"/>
      <c r="T15" s="99"/>
      <c r="U15" s="120"/>
      <c r="V15" s="120"/>
      <c r="W15" s="120"/>
      <c r="X15" s="120"/>
      <c r="Y15" s="120"/>
      <c r="Z15" s="120"/>
      <c r="AA15" s="120"/>
      <c r="AB15" s="120"/>
      <c r="AC15" s="120"/>
    </row>
    <row r="16" spans="2:29" s="90" customFormat="1">
      <c r="B16" s="120"/>
      <c r="C16" s="98" t="s">
        <v>432</v>
      </c>
      <c r="D16" s="103"/>
      <c r="E16" s="108"/>
      <c r="F16" s="99"/>
      <c r="G16" s="117">
        <f>SUM(G14:G15)</f>
        <v>808.2</v>
      </c>
      <c r="H16" s="99"/>
      <c r="I16" s="99"/>
      <c r="J16" s="117">
        <f>SUM(J14:J15)</f>
        <v>804.3599999999999</v>
      </c>
      <c r="K16" s="120"/>
      <c r="L16" s="81">
        <f t="shared" si="0"/>
        <v>-3.8400000000001455</v>
      </c>
      <c r="M16" s="82">
        <f t="shared" si="1"/>
        <v>-4.7512991833706325E-3</v>
      </c>
      <c r="N16" s="82"/>
      <c r="O16" s="120"/>
      <c r="P16" s="120"/>
      <c r="Q16" s="120"/>
      <c r="R16" s="120"/>
      <c r="S16" s="120"/>
      <c r="T16" s="99"/>
      <c r="U16" s="120"/>
      <c r="V16" s="120"/>
      <c r="W16" s="120"/>
      <c r="X16" s="120"/>
      <c r="Y16" s="120"/>
      <c r="Z16" s="120"/>
      <c r="AA16" s="120"/>
      <c r="AB16" s="120"/>
      <c r="AC16" s="120"/>
    </row>
    <row r="17" spans="2:20" s="90" customFormat="1">
      <c r="B17" s="120"/>
      <c r="C17" s="92"/>
      <c r="D17" s="92"/>
      <c r="E17" s="99"/>
      <c r="F17" s="99"/>
      <c r="G17" s="105"/>
      <c r="H17" s="99"/>
      <c r="I17" s="99"/>
      <c r="J17" s="105"/>
      <c r="K17" s="120"/>
      <c r="L17" s="120"/>
      <c r="M17" s="120"/>
      <c r="N17" s="120"/>
      <c r="O17" s="120"/>
      <c r="P17" s="120"/>
      <c r="Q17" s="120"/>
      <c r="R17" s="120"/>
      <c r="S17" s="120"/>
      <c r="T17" s="99"/>
    </row>
    <row r="18" spans="2:20" s="64" customFormat="1">
      <c r="B18" s="111" t="s">
        <v>555</v>
      </c>
      <c r="C18" s="97"/>
      <c r="D18" s="96"/>
      <c r="E18" s="99"/>
      <c r="F18" s="106"/>
      <c r="G18" s="101"/>
      <c r="H18" s="106"/>
      <c r="I18" s="99"/>
      <c r="J18" s="101"/>
      <c r="K18" s="97"/>
      <c r="L18" s="97"/>
      <c r="M18" s="97"/>
      <c r="N18" s="97"/>
      <c r="O18" s="97"/>
      <c r="P18" s="97"/>
      <c r="Q18" s="97"/>
      <c r="R18" s="97"/>
      <c r="S18" s="97"/>
      <c r="T18" s="106"/>
    </row>
    <row r="19" spans="2:20" s="64" customFormat="1">
      <c r="B19" s="97"/>
      <c r="C19" s="98" t="s">
        <v>432</v>
      </c>
      <c r="D19" s="93" t="s">
        <v>556</v>
      </c>
      <c r="E19" s="104">
        <v>622</v>
      </c>
      <c r="F19" s="115">
        <v>9.85</v>
      </c>
      <c r="G19" s="101">
        <f>ROUND($E19*F19,2)</f>
        <v>6126.7</v>
      </c>
      <c r="H19" s="94"/>
      <c r="I19" s="116">
        <f>ROUND(F19*(1+Q14),2)</f>
        <v>9.8000000000000007</v>
      </c>
      <c r="J19" s="101">
        <f>ROUND($E19*I19,2)</f>
        <v>6095.6</v>
      </c>
      <c r="K19" s="97"/>
      <c r="L19" s="81">
        <f>J19-G19</f>
        <v>-31.099999999999454</v>
      </c>
      <c r="M19" s="82">
        <f>IF(G19&lt;&gt;0,L19/G19,0)</f>
        <v>-5.0761421319796066E-3</v>
      </c>
      <c r="N19" s="82"/>
      <c r="O19" s="83">
        <f>I19-F19</f>
        <v>-4.9999999999998934E-2</v>
      </c>
      <c r="P19" s="97"/>
      <c r="Q19" s="97"/>
      <c r="R19" s="97"/>
      <c r="S19" s="97"/>
      <c r="T19" s="106"/>
    </row>
    <row r="20" spans="2:20" s="64" customFormat="1">
      <c r="B20" s="97"/>
      <c r="C20" s="98" t="s">
        <v>230</v>
      </c>
      <c r="D20" s="93"/>
      <c r="E20" s="108">
        <f>E19*19</f>
        <v>11818</v>
      </c>
      <c r="F20" s="115"/>
      <c r="G20" s="101"/>
      <c r="H20" s="94"/>
      <c r="I20" s="116"/>
      <c r="J20" s="101"/>
      <c r="K20" s="97"/>
      <c r="L20" s="81"/>
      <c r="M20" s="82"/>
      <c r="N20" s="82"/>
      <c r="O20" s="97"/>
      <c r="P20" s="97"/>
      <c r="Q20" s="97"/>
      <c r="R20" s="97"/>
      <c r="S20" s="97"/>
      <c r="T20" s="106"/>
    </row>
    <row r="21" spans="2:20" s="64" customFormat="1">
      <c r="B21" s="97"/>
      <c r="C21" s="106"/>
      <c r="D21" s="106"/>
      <c r="E21" s="99"/>
      <c r="F21" s="95"/>
      <c r="G21" s="101"/>
      <c r="H21" s="94"/>
      <c r="I21" s="99"/>
      <c r="J21" s="101"/>
      <c r="K21" s="97"/>
      <c r="L21" s="97"/>
      <c r="M21" s="97"/>
      <c r="N21" s="97"/>
      <c r="O21" s="97"/>
      <c r="P21" s="97"/>
      <c r="Q21" s="97"/>
      <c r="R21" s="97"/>
      <c r="S21" s="97"/>
      <c r="T21" s="106"/>
    </row>
    <row r="22" spans="2:20" s="97" customFormat="1">
      <c r="B22" s="96" t="s">
        <v>180</v>
      </c>
      <c r="D22" s="98"/>
      <c r="E22" s="99"/>
      <c r="F22" s="100"/>
      <c r="G22" s="101"/>
      <c r="H22" s="102"/>
      <c r="I22" s="99"/>
      <c r="J22" s="101"/>
    </row>
    <row r="23" spans="2:20" s="97" customFormat="1">
      <c r="C23" s="103" t="s">
        <v>3</v>
      </c>
      <c r="D23" s="103" t="s">
        <v>453</v>
      </c>
      <c r="E23" s="104">
        <f>631895+28788</f>
        <v>660683</v>
      </c>
      <c r="F23" s="115">
        <v>33.42</v>
      </c>
      <c r="G23" s="105">
        <f>ROUND($E23*F23,2)</f>
        <v>22080025.859999999</v>
      </c>
      <c r="H23" s="102"/>
      <c r="I23" s="116">
        <f>ROUND(F23*(1+Q28),2)</f>
        <v>33.26</v>
      </c>
      <c r="J23" s="105">
        <f>ROUND($E23*I23,2)</f>
        <v>21974316.579999998</v>
      </c>
      <c r="L23" s="81">
        <f t="shared" ref="L23:L25" si="2">J23-G23</f>
        <v>-105709.28000000119</v>
      </c>
      <c r="M23" s="82">
        <f t="shared" ref="M23:M25" si="3">IF(G23&lt;&gt;0,L23/G23,0)</f>
        <v>-4.7875523638540342E-3</v>
      </c>
      <c r="N23" s="82"/>
      <c r="O23" s="83">
        <f>I23-F23</f>
        <v>-0.16000000000000369</v>
      </c>
      <c r="Q23" s="84" t="s">
        <v>557</v>
      </c>
    </row>
    <row r="24" spans="2:20" s="97" customFormat="1">
      <c r="C24" s="106" t="s">
        <v>181</v>
      </c>
      <c r="D24" s="106" t="s">
        <v>230</v>
      </c>
      <c r="E24" s="104">
        <v>202815693</v>
      </c>
      <c r="F24" s="107">
        <v>0.30626999999999999</v>
      </c>
      <c r="G24" s="105">
        <f>ROUND($E24*F24,2)</f>
        <v>62116362.299999997</v>
      </c>
      <c r="H24" s="102"/>
      <c r="I24" s="112">
        <f>ROUND(F24*(1+Q28),5)</f>
        <v>0.30481999999999998</v>
      </c>
      <c r="J24" s="105">
        <f>ROUND($E24*I24,2)</f>
        <v>61822279.539999999</v>
      </c>
      <c r="L24" s="81">
        <f t="shared" si="2"/>
        <v>-294082.75999999791</v>
      </c>
      <c r="M24" s="82">
        <f t="shared" si="3"/>
        <v>-4.7343847757806952E-3</v>
      </c>
      <c r="N24" s="82"/>
      <c r="O24" s="85">
        <f>I24-F24</f>
        <v>-1.4500000000000068E-3</v>
      </c>
      <c r="Q24" s="86">
        <v>-399022.2952379614</v>
      </c>
    </row>
    <row r="25" spans="2:20" s="97" customFormat="1">
      <c r="C25" s="98" t="s">
        <v>432</v>
      </c>
      <c r="D25" s="98"/>
      <c r="E25" s="108"/>
      <c r="F25" s="109"/>
      <c r="G25" s="110">
        <f>SUM(G23:G24)</f>
        <v>84196388.159999996</v>
      </c>
      <c r="H25" s="102"/>
      <c r="I25" s="108"/>
      <c r="J25" s="110">
        <f>SUM(J23:J24)</f>
        <v>83796596.120000005</v>
      </c>
      <c r="L25" s="81">
        <f t="shared" si="2"/>
        <v>-399792.03999999166</v>
      </c>
      <c r="M25" s="82">
        <f t="shared" si="3"/>
        <v>-4.7483276745821836E-3</v>
      </c>
      <c r="N25" s="82"/>
      <c r="Q25" s="87" t="s">
        <v>553</v>
      </c>
    </row>
    <row r="26" spans="2:20" s="97" customFormat="1">
      <c r="C26" s="106"/>
      <c r="D26" s="106"/>
      <c r="E26" s="99"/>
      <c r="F26" s="109"/>
      <c r="G26" s="105"/>
      <c r="H26" s="102"/>
      <c r="I26" s="108"/>
      <c r="J26" s="105"/>
      <c r="Q26" s="89">
        <f>L25+L31+L35-Q24</f>
        <v>-769.74476203025552</v>
      </c>
    </row>
    <row r="27" spans="2:20" s="97" customFormat="1">
      <c r="B27" s="111" t="s">
        <v>183</v>
      </c>
      <c r="D27" s="98"/>
      <c r="E27" s="99"/>
      <c r="F27" s="100"/>
      <c r="G27" s="101"/>
      <c r="H27" s="102"/>
      <c r="I27" s="99"/>
      <c r="J27" s="101"/>
      <c r="L27" s="106"/>
      <c r="Q27" s="87" t="s">
        <v>554</v>
      </c>
    </row>
    <row r="28" spans="2:20" s="97" customFormat="1">
      <c r="B28" s="106"/>
      <c r="C28" s="103" t="s">
        <v>3</v>
      </c>
      <c r="D28" s="103" t="s">
        <v>453</v>
      </c>
      <c r="E28" s="104">
        <v>0</v>
      </c>
      <c r="F28" s="115">
        <v>367.59</v>
      </c>
      <c r="G28" s="105">
        <f>ROUND($E28*F28,2)</f>
        <v>0</v>
      </c>
      <c r="H28" s="102"/>
      <c r="I28" s="116">
        <f>ROUND(F28*(1+Q28),2)</f>
        <v>365.85</v>
      </c>
      <c r="J28" s="105">
        <f>ROUND($E28*I28,2)</f>
        <v>0</v>
      </c>
      <c r="L28" s="80">
        <f t="shared" ref="L28:L31" si="4">J28-G28</f>
        <v>0</v>
      </c>
      <c r="M28" s="82">
        <f t="shared" ref="M28:M31" si="5">IF(G28&lt;&gt;0,L28/G28,0)</f>
        <v>0</v>
      </c>
      <c r="N28" s="82"/>
      <c r="O28" s="83">
        <f>I28-F28</f>
        <v>-1.7399999999999523</v>
      </c>
      <c r="Q28" s="91">
        <v>-4.7200000000000002E-3</v>
      </c>
    </row>
    <row r="29" spans="2:20" s="97" customFormat="1">
      <c r="B29" s="106"/>
      <c r="C29" s="106" t="s">
        <v>181</v>
      </c>
      <c r="D29" s="106" t="s">
        <v>230</v>
      </c>
      <c r="E29" s="104">
        <v>0</v>
      </c>
      <c r="F29" s="112">
        <f>F24</f>
        <v>0.30626999999999999</v>
      </c>
      <c r="G29" s="105">
        <f>ROUND($E29*F29,2)</f>
        <v>0</v>
      </c>
      <c r="H29" s="102"/>
      <c r="I29" s="112">
        <f>I24</f>
        <v>0.30481999999999998</v>
      </c>
      <c r="J29" s="105">
        <f>ROUND($E29*I29,2)</f>
        <v>0</v>
      </c>
      <c r="L29" s="81">
        <f t="shared" si="4"/>
        <v>0</v>
      </c>
      <c r="M29" s="82">
        <f t="shared" si="5"/>
        <v>0</v>
      </c>
      <c r="N29" s="82"/>
      <c r="O29" s="85">
        <f t="shared" ref="O29:O30" si="6">I29-F29</f>
        <v>-1.4500000000000068E-3</v>
      </c>
    </row>
    <row r="30" spans="2:20" s="97" customFormat="1">
      <c r="B30" s="106"/>
      <c r="C30" s="103" t="s">
        <v>184</v>
      </c>
      <c r="D30" s="106"/>
      <c r="E30" s="104"/>
      <c r="F30" s="112">
        <f>-F113</f>
        <v>-5.3899999999999998E-3</v>
      </c>
      <c r="G30" s="105">
        <f>ROUND($E30*F30,2)</f>
        <v>0</v>
      </c>
      <c r="H30" s="102"/>
      <c r="I30" s="112">
        <f>-I113</f>
        <v>-5.3600000000000002E-3</v>
      </c>
      <c r="J30" s="105">
        <f>ROUND($E30*I30,2)</f>
        <v>0</v>
      </c>
      <c r="L30" s="81">
        <f t="shared" si="4"/>
        <v>0</v>
      </c>
      <c r="M30" s="82">
        <f t="shared" si="5"/>
        <v>0</v>
      </c>
      <c r="N30" s="82"/>
      <c r="O30" s="85">
        <f t="shared" si="6"/>
        <v>2.9999999999999645E-5</v>
      </c>
    </row>
    <row r="31" spans="2:20" s="97" customFormat="1">
      <c r="C31" s="98" t="s">
        <v>432</v>
      </c>
      <c r="D31" s="98"/>
      <c r="E31" s="108"/>
      <c r="F31" s="108"/>
      <c r="G31" s="110">
        <f>SUM(G28:G30)</f>
        <v>0</v>
      </c>
      <c r="H31" s="102"/>
      <c r="I31" s="108"/>
      <c r="J31" s="110">
        <f>SUM(J28:J30)</f>
        <v>0</v>
      </c>
      <c r="L31" s="81">
        <f t="shared" si="4"/>
        <v>0</v>
      </c>
      <c r="M31" s="82">
        <f t="shared" si="5"/>
        <v>0</v>
      </c>
      <c r="N31" s="82"/>
    </row>
    <row r="32" spans="2:20" s="97" customFormat="1">
      <c r="B32" s="106"/>
      <c r="C32" s="106"/>
      <c r="D32" s="106"/>
      <c r="E32" s="99"/>
      <c r="F32" s="113"/>
      <c r="G32" s="114"/>
      <c r="H32" s="102"/>
      <c r="I32" s="113"/>
      <c r="J32" s="114"/>
    </row>
    <row r="33" spans="2:17" s="97" customFormat="1">
      <c r="B33" s="111" t="s">
        <v>558</v>
      </c>
      <c r="D33" s="98"/>
      <c r="E33" s="99"/>
      <c r="F33" s="99"/>
      <c r="G33" s="101"/>
      <c r="H33" s="102"/>
      <c r="I33" s="99"/>
      <c r="J33" s="101"/>
    </row>
    <row r="34" spans="2:17" s="97" customFormat="1">
      <c r="C34" s="106" t="s">
        <v>454</v>
      </c>
      <c r="D34" s="106"/>
      <c r="E34" s="104">
        <v>1136284</v>
      </c>
      <c r="F34" s="115">
        <v>0.1</v>
      </c>
      <c r="G34" s="101">
        <f>ROUND($E34*F34,2)</f>
        <v>113628.4</v>
      </c>
      <c r="H34" s="102"/>
      <c r="I34" s="116">
        <f>ROUND(F34*(1+Q28),2)</f>
        <v>0.1</v>
      </c>
      <c r="J34" s="101">
        <f>ROUND($E34*I34,2)</f>
        <v>113628.4</v>
      </c>
      <c r="L34" s="81">
        <f t="shared" ref="L34:L35" si="7">J34-G34</f>
        <v>0</v>
      </c>
      <c r="M34" s="82">
        <f t="shared" ref="M34:M35" si="8">IF(G34&lt;&gt;0,L34/G34,0)</f>
        <v>0</v>
      </c>
      <c r="N34" s="82"/>
      <c r="O34" s="83">
        <f>I34-F34</f>
        <v>0</v>
      </c>
    </row>
    <row r="35" spans="2:17" s="97" customFormat="1">
      <c r="C35" s="98" t="s">
        <v>432</v>
      </c>
      <c r="D35" s="98"/>
      <c r="E35" s="108"/>
      <c r="F35" s="108"/>
      <c r="G35" s="117">
        <f>SUM(G34:G34)</f>
        <v>113628.4</v>
      </c>
      <c r="H35" s="102"/>
      <c r="I35" s="108"/>
      <c r="J35" s="117">
        <f>SUM(J34:J34)</f>
        <v>113628.4</v>
      </c>
      <c r="L35" s="81">
        <f t="shared" si="7"/>
        <v>0</v>
      </c>
      <c r="M35" s="82">
        <f t="shared" si="8"/>
        <v>0</v>
      </c>
      <c r="N35" s="82"/>
    </row>
    <row r="36" spans="2:17" s="97" customFormat="1">
      <c r="C36" s="99"/>
      <c r="D36" s="106"/>
      <c r="E36" s="99"/>
      <c r="F36" s="99"/>
      <c r="G36" s="101"/>
      <c r="H36" s="102"/>
      <c r="I36" s="99"/>
      <c r="J36" s="101"/>
    </row>
    <row r="37" spans="2:17" s="97" customFormat="1">
      <c r="B37" s="111" t="s">
        <v>185</v>
      </c>
      <c r="D37" s="98"/>
      <c r="E37" s="99"/>
      <c r="F37" s="99"/>
      <c r="G37" s="101"/>
      <c r="H37" s="102"/>
      <c r="I37" s="99"/>
      <c r="J37" s="101"/>
    </row>
    <row r="38" spans="2:17" s="97" customFormat="1">
      <c r="C38" s="103" t="s">
        <v>3</v>
      </c>
      <c r="D38" s="103" t="s">
        <v>453</v>
      </c>
      <c r="E38" s="104">
        <f>22220+1323</f>
        <v>23543</v>
      </c>
      <c r="F38" s="115">
        <v>114.22</v>
      </c>
      <c r="G38" s="101">
        <f>ROUND($E38*F38,2)</f>
        <v>2689081.46</v>
      </c>
      <c r="H38" s="102"/>
      <c r="I38" s="116">
        <f>ROUND(F38*(1+Q43),2)</f>
        <v>113.85</v>
      </c>
      <c r="J38" s="101">
        <f>ROUND($E38*I38,2)</f>
        <v>2680370.5499999998</v>
      </c>
      <c r="L38" s="81">
        <f t="shared" ref="L38:L40" si="9">J38-G38</f>
        <v>-8710.910000000149</v>
      </c>
      <c r="M38" s="82">
        <f t="shared" ref="M38:M40" si="10">IF(G38&lt;&gt;0,L38/G38,0)</f>
        <v>-3.239362633514326E-3</v>
      </c>
      <c r="N38" s="82"/>
      <c r="O38" s="83">
        <f>I38-F38</f>
        <v>-0.37000000000000455</v>
      </c>
      <c r="Q38" s="84" t="s">
        <v>559</v>
      </c>
    </row>
    <row r="39" spans="2:17" s="97" customFormat="1">
      <c r="C39" s="99" t="s">
        <v>560</v>
      </c>
      <c r="D39" s="103" t="s">
        <v>453</v>
      </c>
      <c r="E39" s="108">
        <f>E38</f>
        <v>23543</v>
      </c>
      <c r="F39" s="115">
        <v>124.36</v>
      </c>
      <c r="G39" s="101">
        <f>ROUND($E39*F39,2)</f>
        <v>2927807.48</v>
      </c>
      <c r="H39" s="102"/>
      <c r="I39" s="116">
        <f>ROUND(I44*900,2)</f>
        <v>123.96</v>
      </c>
      <c r="J39" s="101">
        <f>ROUND($E39*I39,2)</f>
        <v>2918390.28</v>
      </c>
      <c r="L39" s="81">
        <f t="shared" si="9"/>
        <v>-9417.2000000001863</v>
      </c>
      <c r="M39" s="82">
        <f t="shared" si="10"/>
        <v>-3.2164683177871335E-3</v>
      </c>
      <c r="N39" s="82"/>
      <c r="O39" s="83">
        <f>I39-F39</f>
        <v>-0.40000000000000568</v>
      </c>
      <c r="Q39" s="86">
        <v>-95679.756566017473</v>
      </c>
    </row>
    <row r="40" spans="2:17" s="97" customFormat="1">
      <c r="C40" s="99" t="s">
        <v>186</v>
      </c>
      <c r="D40" s="106" t="s">
        <v>454</v>
      </c>
      <c r="E40" s="104">
        <v>4308674.33</v>
      </c>
      <c r="F40" s="116">
        <f>F64</f>
        <v>1.1499999999999999</v>
      </c>
      <c r="G40" s="101">
        <f>ROUND($E40*F40,2)</f>
        <v>4954975.4800000004</v>
      </c>
      <c r="H40" s="102"/>
      <c r="I40" s="116">
        <f>I64</f>
        <v>1.1399999999999999</v>
      </c>
      <c r="J40" s="101">
        <f>ROUND($E40*I40,2)</f>
        <v>4911888.74</v>
      </c>
      <c r="L40" s="81">
        <f t="shared" si="9"/>
        <v>-43086.740000000224</v>
      </c>
      <c r="M40" s="82">
        <f t="shared" si="10"/>
        <v>-8.6956515070383805E-3</v>
      </c>
      <c r="N40" s="82"/>
      <c r="O40" s="83">
        <f>I40-F40</f>
        <v>-1.0000000000000009E-2</v>
      </c>
      <c r="Q40" s="87" t="s">
        <v>553</v>
      </c>
    </row>
    <row r="41" spans="2:17" s="97" customFormat="1">
      <c r="C41" s="99"/>
      <c r="D41" s="106"/>
      <c r="E41" s="108"/>
      <c r="F41" s="116"/>
      <c r="G41" s="114"/>
      <c r="H41" s="102"/>
      <c r="I41" s="116"/>
      <c r="J41" s="114"/>
      <c r="Q41" s="89">
        <f>L47+L60-Q39</f>
        <v>57.016566020975006</v>
      </c>
    </row>
    <row r="42" spans="2:17" s="97" customFormat="1">
      <c r="C42" s="99" t="s">
        <v>187</v>
      </c>
      <c r="D42" s="106"/>
      <c r="E42" s="108"/>
      <c r="F42" s="116"/>
      <c r="G42" s="114"/>
      <c r="H42" s="102"/>
      <c r="I42" s="116"/>
      <c r="J42" s="114"/>
      <c r="Q42" s="87" t="s">
        <v>554</v>
      </c>
    </row>
    <row r="43" spans="2:17" s="97" customFormat="1">
      <c r="C43" s="99" t="s">
        <v>463</v>
      </c>
      <c r="D43" s="106" t="s">
        <v>230</v>
      </c>
      <c r="E43" s="104">
        <v>18457758</v>
      </c>
      <c r="F43" s="107">
        <v>0.13818</v>
      </c>
      <c r="G43" s="101" t="s">
        <v>561</v>
      </c>
      <c r="H43" s="102"/>
      <c r="I43" s="112">
        <f>I44</f>
        <v>0.13772999999999999</v>
      </c>
      <c r="J43" s="101" t="s">
        <v>561</v>
      </c>
      <c r="O43" s="85">
        <f t="shared" ref="O43:O45" si="11">I43-F43</f>
        <v>-4.5000000000000595E-4</v>
      </c>
      <c r="Q43" s="91">
        <v>-3.2799999999999999E-3</v>
      </c>
    </row>
    <row r="44" spans="2:17" s="97" customFormat="1">
      <c r="C44" s="99" t="s">
        <v>188</v>
      </c>
      <c r="D44" s="106" t="s">
        <v>230</v>
      </c>
      <c r="E44" s="104">
        <v>32519670</v>
      </c>
      <c r="F44" s="107">
        <v>0.13818</v>
      </c>
      <c r="G44" s="101">
        <f>ROUND($E44*F44,2)</f>
        <v>4493568</v>
      </c>
      <c r="H44" s="102"/>
      <c r="I44" s="112">
        <f>ROUND(F44*(1+Q43),5)</f>
        <v>0.13772999999999999</v>
      </c>
      <c r="J44" s="101">
        <f>ROUND($E44*I44,2)</f>
        <v>4478934.1500000004</v>
      </c>
      <c r="L44" s="81">
        <f t="shared" ref="L44:L45" si="12">J44-G44</f>
        <v>-14633.849999999627</v>
      </c>
      <c r="M44" s="82">
        <f t="shared" ref="M44:M45" si="13">IF(G44&lt;&gt;0,L44/G44,0)</f>
        <v>-3.2566214642795275E-3</v>
      </c>
      <c r="N44" s="82"/>
      <c r="O44" s="85">
        <f t="shared" si="11"/>
        <v>-4.5000000000000595E-4</v>
      </c>
    </row>
    <row r="45" spans="2:17" s="97" customFormat="1">
      <c r="C45" s="99" t="s">
        <v>189</v>
      </c>
      <c r="D45" s="106" t="s">
        <v>230</v>
      </c>
      <c r="E45" s="108">
        <f>E46-SUM(E43:E44)</f>
        <v>26996599</v>
      </c>
      <c r="F45" s="107">
        <v>0.11123</v>
      </c>
      <c r="G45" s="101">
        <f>ROUND($E45*F45,2)</f>
        <v>3002831.71</v>
      </c>
      <c r="H45" s="102"/>
      <c r="I45" s="112">
        <f>ROUND(F45*(1+Q43),5)</f>
        <v>0.11087</v>
      </c>
      <c r="J45" s="101">
        <f>ROUND($E45*I45,2)</f>
        <v>2993112.93</v>
      </c>
      <c r="L45" s="81">
        <f t="shared" si="12"/>
        <v>-9718.7799999997951</v>
      </c>
      <c r="M45" s="82">
        <f t="shared" si="13"/>
        <v>-3.2365383539924705E-3</v>
      </c>
      <c r="N45" s="82"/>
      <c r="O45" s="85">
        <f t="shared" si="11"/>
        <v>-3.5999999999999921E-4</v>
      </c>
    </row>
    <row r="46" spans="2:17" s="97" customFormat="1">
      <c r="C46" s="103" t="s">
        <v>562</v>
      </c>
      <c r="D46" s="98"/>
      <c r="E46" s="118">
        <v>77974027</v>
      </c>
      <c r="F46" s="108"/>
      <c r="H46" s="102"/>
      <c r="I46" s="108"/>
    </row>
    <row r="47" spans="2:17" s="97" customFormat="1">
      <c r="C47" s="98" t="s">
        <v>432</v>
      </c>
      <c r="D47" s="98"/>
      <c r="E47" s="108"/>
      <c r="F47" s="108"/>
      <c r="G47" s="119">
        <f>SUM(G38:G40,G44:G45)</f>
        <v>18068264.129999999</v>
      </c>
      <c r="H47" s="102"/>
      <c r="I47" s="108"/>
      <c r="J47" s="119">
        <f>SUM(J38:J40,J44:J45)</f>
        <v>17982696.650000002</v>
      </c>
      <c r="L47" s="81">
        <f t="shared" ref="L47" si="14">J47-G47</f>
        <v>-85567.479999996722</v>
      </c>
      <c r="M47" s="82">
        <f t="shared" ref="M47" si="15">IF(G47&lt;&gt;0,L47/G47,0)</f>
        <v>-4.7357886393703461E-3</v>
      </c>
      <c r="N47" s="82"/>
    </row>
    <row r="48" spans="2:17" s="97" customFormat="1">
      <c r="C48" s="103"/>
      <c r="D48" s="98"/>
      <c r="E48" s="108"/>
      <c r="F48" s="108"/>
      <c r="G48" s="114"/>
      <c r="H48" s="102"/>
      <c r="I48" s="108"/>
      <c r="J48" s="114"/>
    </row>
    <row r="49" spans="2:17" s="120" customFormat="1">
      <c r="B49" s="111" t="s">
        <v>190</v>
      </c>
      <c r="D49" s="98"/>
      <c r="E49" s="99"/>
      <c r="F49" s="99"/>
      <c r="G49" s="101"/>
      <c r="H49" s="121"/>
      <c r="I49" s="99"/>
      <c r="J49" s="101"/>
    </row>
    <row r="50" spans="2:17" s="120" customFormat="1">
      <c r="B50" s="99"/>
      <c r="C50" s="103" t="s">
        <v>3</v>
      </c>
      <c r="D50" s="103" t="s">
        <v>453</v>
      </c>
      <c r="E50" s="104">
        <f>478+244</f>
        <v>722</v>
      </c>
      <c r="F50" s="115">
        <v>440.55</v>
      </c>
      <c r="G50" s="101">
        <f>ROUND($E50*F50,2)</f>
        <v>318077.09999999998</v>
      </c>
      <c r="H50" s="121"/>
      <c r="I50" s="116">
        <f>ROUND(F50*(1+Q43),2)</f>
        <v>439.1</v>
      </c>
      <c r="J50" s="101">
        <f>ROUND($E50*I50,2)</f>
        <v>317030.2</v>
      </c>
      <c r="L50" s="81">
        <f t="shared" ref="L50:L52" si="16">J50-G50</f>
        <v>-1046.8999999999651</v>
      </c>
      <c r="M50" s="82">
        <f t="shared" ref="M50:M52" si="17">IF(G50&lt;&gt;0,L50/G50,0)</f>
        <v>-3.2913403699919457E-3</v>
      </c>
      <c r="N50" s="82"/>
      <c r="O50" s="83">
        <f>I50-F50</f>
        <v>-1.4499999999999886</v>
      </c>
    </row>
    <row r="51" spans="2:17" s="120" customFormat="1">
      <c r="B51" s="99"/>
      <c r="C51" s="99" t="s">
        <v>560</v>
      </c>
      <c r="D51" s="103" t="s">
        <v>453</v>
      </c>
      <c r="E51" s="108">
        <f>E50</f>
        <v>722</v>
      </c>
      <c r="F51" s="116">
        <f>F39</f>
        <v>124.36</v>
      </c>
      <c r="G51" s="101">
        <f>ROUND($E51*F51,2)</f>
        <v>89787.92</v>
      </c>
      <c r="H51" s="121"/>
      <c r="I51" s="116">
        <f>I39</f>
        <v>123.96</v>
      </c>
      <c r="J51" s="101">
        <f>ROUND($E51*I51,2)</f>
        <v>89499.12</v>
      </c>
      <c r="L51" s="81">
        <f t="shared" si="16"/>
        <v>-288.80000000000291</v>
      </c>
      <c r="M51" s="82">
        <f t="shared" si="17"/>
        <v>-3.2164683177871023E-3</v>
      </c>
      <c r="N51" s="82"/>
      <c r="O51" s="83">
        <f>I51-F51</f>
        <v>-0.40000000000000568</v>
      </c>
    </row>
    <row r="52" spans="2:17" s="120" customFormat="1">
      <c r="B52" s="99"/>
      <c r="C52" s="99" t="s">
        <v>186</v>
      </c>
      <c r="D52" s="106" t="s">
        <v>454</v>
      </c>
      <c r="E52" s="104">
        <v>512366</v>
      </c>
      <c r="F52" s="116">
        <f>F40</f>
        <v>1.1499999999999999</v>
      </c>
      <c r="G52" s="101">
        <f>ROUND($E52*F52,2)</f>
        <v>589220.9</v>
      </c>
      <c r="H52" s="121"/>
      <c r="I52" s="116">
        <f>I40</f>
        <v>1.1399999999999999</v>
      </c>
      <c r="J52" s="101">
        <f>ROUND($E52*I52,2)</f>
        <v>584097.24</v>
      </c>
      <c r="L52" s="81">
        <f t="shared" si="16"/>
        <v>-5123.6600000000326</v>
      </c>
      <c r="M52" s="82">
        <f t="shared" si="17"/>
        <v>-8.6956521739130991E-3</v>
      </c>
      <c r="N52" s="82"/>
      <c r="O52" s="83">
        <f>I52-F52</f>
        <v>-1.0000000000000009E-2</v>
      </c>
    </row>
    <row r="53" spans="2:17" s="120" customFormat="1">
      <c r="B53" s="99"/>
      <c r="C53" s="99"/>
      <c r="D53" s="106"/>
      <c r="E53" s="108"/>
      <c r="F53" s="116"/>
      <c r="G53" s="114"/>
      <c r="H53" s="121"/>
      <c r="I53" s="116"/>
      <c r="J53" s="114"/>
    </row>
    <row r="54" spans="2:17" s="120" customFormat="1">
      <c r="B54" s="99"/>
      <c r="C54" s="99" t="s">
        <v>187</v>
      </c>
      <c r="D54" s="106"/>
      <c r="E54" s="108"/>
      <c r="F54" s="116"/>
      <c r="G54" s="114"/>
      <c r="H54" s="121"/>
      <c r="I54" s="116"/>
      <c r="J54" s="114"/>
    </row>
    <row r="55" spans="2:17" s="120" customFormat="1">
      <c r="B55" s="99"/>
      <c r="C55" s="99" t="s">
        <v>463</v>
      </c>
      <c r="D55" s="106" t="s">
        <v>230</v>
      </c>
      <c r="E55" s="104">
        <v>665953</v>
      </c>
      <c r="F55" s="112">
        <f>F43</f>
        <v>0.13818</v>
      </c>
      <c r="G55" s="101" t="s">
        <v>561</v>
      </c>
      <c r="H55" s="121"/>
      <c r="I55" s="112">
        <f>I43</f>
        <v>0.13772999999999999</v>
      </c>
      <c r="J55" s="101" t="s">
        <v>561</v>
      </c>
      <c r="O55" s="85">
        <f t="shared" ref="O55:O59" si="18">I55-F55</f>
        <v>-4.5000000000000595E-4</v>
      </c>
    </row>
    <row r="56" spans="2:17" s="120" customFormat="1">
      <c r="B56" s="99"/>
      <c r="C56" s="99" t="s">
        <v>188</v>
      </c>
      <c r="D56" s="106" t="s">
        <v>230</v>
      </c>
      <c r="E56" s="104">
        <v>2690154</v>
      </c>
      <c r="F56" s="112">
        <f>F44</f>
        <v>0.13818</v>
      </c>
      <c r="G56" s="101">
        <f>ROUND($E56*F56,2)</f>
        <v>371725.48</v>
      </c>
      <c r="H56" s="121"/>
      <c r="I56" s="112">
        <f>I44</f>
        <v>0.13772999999999999</v>
      </c>
      <c r="J56" s="101">
        <f>ROUND($E56*I56,2)</f>
        <v>370514.91</v>
      </c>
      <c r="L56" s="81">
        <f t="shared" ref="L56:L57" si="19">J56-G56</f>
        <v>-1210.570000000007</v>
      </c>
      <c r="M56" s="82">
        <f t="shared" ref="M56:M57" si="20">IF(G56&lt;&gt;0,L56/G56,0)</f>
        <v>-3.2566236783123045E-3</v>
      </c>
      <c r="N56" s="82"/>
      <c r="O56" s="85">
        <f t="shared" si="18"/>
        <v>-4.5000000000000595E-4</v>
      </c>
    </row>
    <row r="57" spans="2:17" s="120" customFormat="1">
      <c r="B57" s="99"/>
      <c r="C57" s="99" t="s">
        <v>189</v>
      </c>
      <c r="D57" s="106" t="s">
        <v>230</v>
      </c>
      <c r="E57" s="104">
        <v>7533376</v>
      </c>
      <c r="F57" s="112">
        <f>F45</f>
        <v>0.11123</v>
      </c>
      <c r="G57" s="101">
        <f>ROUND($E57*F57,2)</f>
        <v>837937.41</v>
      </c>
      <c r="H57" s="121"/>
      <c r="I57" s="112">
        <f>I45</f>
        <v>0.11087</v>
      </c>
      <c r="J57" s="101">
        <f>ROUND($E57*I57,2)</f>
        <v>835225.4</v>
      </c>
      <c r="L57" s="81">
        <f t="shared" si="19"/>
        <v>-2712.0100000000093</v>
      </c>
      <c r="M57" s="82">
        <f t="shared" si="20"/>
        <v>-3.2365305184309757E-3</v>
      </c>
      <c r="N57" s="82"/>
      <c r="O57" s="85">
        <f t="shared" si="18"/>
        <v>-3.5999999999999921E-4</v>
      </c>
    </row>
    <row r="58" spans="2:17" s="120" customFormat="1">
      <c r="B58" s="99"/>
      <c r="C58" s="103" t="s">
        <v>562</v>
      </c>
      <c r="D58" s="98"/>
      <c r="E58" s="122">
        <f>SUM(E55:E57)</f>
        <v>10889483</v>
      </c>
      <c r="F58" s="108"/>
      <c r="G58" s="99"/>
      <c r="H58" s="121"/>
      <c r="I58" s="108"/>
      <c r="J58" s="99"/>
    </row>
    <row r="59" spans="2:17" s="120" customFormat="1">
      <c r="B59" s="99"/>
      <c r="C59" s="103" t="s">
        <v>184</v>
      </c>
      <c r="D59" s="106" t="s">
        <v>230</v>
      </c>
      <c r="E59" s="108">
        <f>E58</f>
        <v>10889483</v>
      </c>
      <c r="F59" s="123">
        <f>-F113</f>
        <v>-5.3899999999999998E-3</v>
      </c>
      <c r="G59" s="101">
        <f>ROUND($E59*F59,2)</f>
        <v>-58694.31</v>
      </c>
      <c r="H59" s="121"/>
      <c r="I59" s="123">
        <f>-I113</f>
        <v>-5.3600000000000002E-3</v>
      </c>
      <c r="J59" s="101">
        <f>ROUND($E59*I59,2)</f>
        <v>-58367.63</v>
      </c>
      <c r="L59" s="81">
        <f t="shared" ref="L59:L60" si="21">J59-G59</f>
        <v>326.68000000000029</v>
      </c>
      <c r="M59" s="82">
        <f t="shared" ref="M59:M60" si="22">IF(G59&lt;&gt;0,L59/G59,0)</f>
        <v>-5.5657865302445892E-3</v>
      </c>
      <c r="N59" s="82"/>
      <c r="O59" s="85">
        <f t="shared" si="18"/>
        <v>2.9999999999999645E-5</v>
      </c>
    </row>
    <row r="60" spans="2:17" s="120" customFormat="1">
      <c r="C60" s="98" t="s">
        <v>432</v>
      </c>
      <c r="D60" s="98"/>
      <c r="E60" s="108"/>
      <c r="F60" s="108"/>
      <c r="G60" s="119">
        <f>SUM(G50:G59)</f>
        <v>2148054.5</v>
      </c>
      <c r="H60" s="121"/>
      <c r="I60" s="108"/>
      <c r="J60" s="119">
        <f>SUM(J50:J59)</f>
        <v>2137999.2400000002</v>
      </c>
      <c r="L60" s="81">
        <f t="shared" si="21"/>
        <v>-10055.259999999776</v>
      </c>
      <c r="M60" s="82">
        <f t="shared" si="22"/>
        <v>-4.6811009683412489E-3</v>
      </c>
      <c r="N60" s="82"/>
    </row>
    <row r="61" spans="2:17" s="120" customFormat="1">
      <c r="B61" s="99"/>
      <c r="C61" s="103"/>
      <c r="D61" s="98"/>
      <c r="E61" s="108"/>
      <c r="F61" s="108"/>
      <c r="G61" s="114"/>
      <c r="H61" s="121"/>
      <c r="I61" s="108"/>
      <c r="J61" s="114"/>
    </row>
    <row r="62" spans="2:17" s="97" customFormat="1">
      <c r="B62" s="96" t="s">
        <v>452</v>
      </c>
      <c r="D62" s="98"/>
      <c r="E62" s="108"/>
      <c r="F62" s="116"/>
      <c r="G62" s="124"/>
      <c r="H62" s="125"/>
      <c r="I62" s="116"/>
      <c r="J62" s="124"/>
    </row>
    <row r="63" spans="2:17" s="97" customFormat="1">
      <c r="C63" s="98" t="s">
        <v>3</v>
      </c>
      <c r="D63" s="98" t="s">
        <v>453</v>
      </c>
      <c r="E63" s="104">
        <f>322+75</f>
        <v>397</v>
      </c>
      <c r="F63" s="115">
        <v>563.45000000000005</v>
      </c>
      <c r="G63" s="101">
        <f>ROUND($E63*F63,2)</f>
        <v>223689.65</v>
      </c>
      <c r="H63" s="125"/>
      <c r="I63" s="116">
        <f>ROUND(F63*(1+Q68),2)</f>
        <v>560.94000000000005</v>
      </c>
      <c r="J63" s="101">
        <f>ROUND($E63*I63,2)</f>
        <v>222693.18</v>
      </c>
      <c r="L63" s="81">
        <f t="shared" ref="L63:L66" si="23">J63-G63</f>
        <v>-996.47000000000116</v>
      </c>
      <c r="M63" s="82">
        <f t="shared" ref="M63:M66" si="24">IF(G63&lt;&gt;0,L63/G63,0)</f>
        <v>-4.4546987310320404E-3</v>
      </c>
      <c r="N63" s="82"/>
      <c r="O63" s="83">
        <f t="shared" ref="O63:O65" si="25">I63-F63</f>
        <v>-2.5099999999999909</v>
      </c>
      <c r="Q63" s="84" t="s">
        <v>563</v>
      </c>
    </row>
    <row r="64" spans="2:17" s="97" customFormat="1">
      <c r="C64" s="106" t="s">
        <v>186</v>
      </c>
      <c r="D64" s="106" t="s">
        <v>454</v>
      </c>
      <c r="E64" s="104">
        <v>101408</v>
      </c>
      <c r="F64" s="115">
        <v>1.1499999999999999</v>
      </c>
      <c r="G64" s="101">
        <f>ROUND($E64*F64,2)</f>
        <v>116619.2</v>
      </c>
      <c r="H64" s="125"/>
      <c r="I64" s="116">
        <f>ROUND(F64*(1+$Q$68),2)</f>
        <v>1.1399999999999999</v>
      </c>
      <c r="J64" s="101">
        <f>ROUND($E64*I64,2)</f>
        <v>115605.12</v>
      </c>
      <c r="L64" s="81">
        <f t="shared" si="23"/>
        <v>-1014.0800000000017</v>
      </c>
      <c r="M64" s="82">
        <f t="shared" si="24"/>
        <v>-8.6956521739130592E-3</v>
      </c>
      <c r="N64" s="82"/>
      <c r="O64" s="83">
        <f t="shared" si="25"/>
        <v>-1.0000000000000009E-2</v>
      </c>
      <c r="Q64" s="86">
        <v>-42871.265686372994</v>
      </c>
    </row>
    <row r="65" spans="2:17" s="97" customFormat="1">
      <c r="C65" s="106" t="s">
        <v>192</v>
      </c>
      <c r="D65" s="106" t="s">
        <v>230</v>
      </c>
      <c r="E65" s="108">
        <f>E72</f>
        <v>17344756</v>
      </c>
      <c r="F65" s="107">
        <v>6.8199999999999997E-3</v>
      </c>
      <c r="G65" s="101">
        <f>ROUND($E65*F65,2)</f>
        <v>118291.24</v>
      </c>
      <c r="H65" s="125"/>
      <c r="I65" s="112">
        <f>ROUND(F65*(1+$Q$68),5)</f>
        <v>6.79E-3</v>
      </c>
      <c r="J65" s="101">
        <f>ROUND($E65*I65,2)</f>
        <v>117770.89</v>
      </c>
      <c r="L65" s="81">
        <f t="shared" si="23"/>
        <v>-520.35000000000582</v>
      </c>
      <c r="M65" s="82">
        <f t="shared" si="24"/>
        <v>-4.3988887089188161E-3</v>
      </c>
      <c r="N65" s="82"/>
      <c r="O65" s="85">
        <f t="shared" si="25"/>
        <v>-2.9999999999999645E-5</v>
      </c>
      <c r="Q65" s="87" t="s">
        <v>553</v>
      </c>
    </row>
    <row r="66" spans="2:17" s="97" customFormat="1">
      <c r="C66" s="106" t="s">
        <v>564</v>
      </c>
      <c r="D66" s="106"/>
      <c r="E66" s="108"/>
      <c r="F66" s="112"/>
      <c r="G66" s="126">
        <v>45867.17</v>
      </c>
      <c r="H66" s="125"/>
      <c r="I66" s="112"/>
      <c r="J66" s="126">
        <v>45867.17</v>
      </c>
      <c r="L66" s="81">
        <f t="shared" si="23"/>
        <v>0</v>
      </c>
      <c r="M66" s="82">
        <f t="shared" si="24"/>
        <v>0</v>
      </c>
      <c r="N66" s="82"/>
      <c r="O66" s="83"/>
      <c r="Q66" s="89">
        <f>L73+L85-Q64</f>
        <v>55.195686372928321</v>
      </c>
    </row>
    <row r="67" spans="2:17" s="97" customFormat="1">
      <c r="C67" s="106"/>
      <c r="D67" s="106"/>
      <c r="E67" s="108"/>
      <c r="F67" s="112"/>
      <c r="G67" s="114"/>
      <c r="H67" s="125"/>
      <c r="I67" s="112"/>
      <c r="J67" s="114"/>
      <c r="Q67" s="87" t="s">
        <v>554</v>
      </c>
    </row>
    <row r="68" spans="2:17" s="97" customFormat="1">
      <c r="C68" s="106" t="s">
        <v>187</v>
      </c>
      <c r="D68" s="106"/>
      <c r="E68" s="108"/>
      <c r="F68" s="112"/>
      <c r="G68" s="114"/>
      <c r="H68" s="125"/>
      <c r="I68" s="112"/>
      <c r="J68" s="114"/>
      <c r="Q68" s="91">
        <v>-4.45E-3</v>
      </c>
    </row>
    <row r="69" spans="2:17" s="97" customFormat="1">
      <c r="C69" s="106" t="s">
        <v>261</v>
      </c>
      <c r="D69" s="106" t="s">
        <v>230</v>
      </c>
      <c r="E69" s="104">
        <v>8755957</v>
      </c>
      <c r="F69" s="107">
        <v>0.10206</v>
      </c>
      <c r="G69" s="101">
        <f t="shared" ref="G69:G71" si="26">ROUND($E69*F69,2)</f>
        <v>893632.97</v>
      </c>
      <c r="H69" s="125"/>
      <c r="I69" s="112">
        <f>ROUND(F69*(1+$Q$68),5)</f>
        <v>0.10161000000000001</v>
      </c>
      <c r="J69" s="101">
        <f t="shared" ref="J69:J71" si="27">ROUND($E69*I69,2)</f>
        <v>889692.79</v>
      </c>
      <c r="L69" s="81">
        <f t="shared" ref="L69:L71" si="28">J69-G69</f>
        <v>-3940.1799999999348</v>
      </c>
      <c r="M69" s="82">
        <f t="shared" ref="M69:M71" si="29">IF(G69&lt;&gt;0,L69/G69,0)</f>
        <v>-4.4091703554759564E-3</v>
      </c>
      <c r="N69" s="82"/>
      <c r="O69" s="85">
        <f t="shared" ref="O69:O71" si="30">I69-F69</f>
        <v>-4.4999999999999207E-4</v>
      </c>
    </row>
    <row r="70" spans="2:17" s="97" customFormat="1">
      <c r="C70" s="106" t="s">
        <v>262</v>
      </c>
      <c r="D70" s="106" t="s">
        <v>230</v>
      </c>
      <c r="E70" s="104">
        <v>4051604</v>
      </c>
      <c r="F70" s="107">
        <v>5.0500000000000003E-2</v>
      </c>
      <c r="G70" s="101">
        <f t="shared" si="26"/>
        <v>204606</v>
      </c>
      <c r="H70" s="125"/>
      <c r="I70" s="112">
        <f t="shared" ref="I70:I71" si="31">ROUND(F70*(1+$Q$68),5)</f>
        <v>5.0279999999999998E-2</v>
      </c>
      <c r="J70" s="101">
        <f t="shared" si="27"/>
        <v>203714.65</v>
      </c>
      <c r="L70" s="81">
        <f t="shared" si="28"/>
        <v>-891.35000000000582</v>
      </c>
      <c r="M70" s="82">
        <f t="shared" si="29"/>
        <v>-4.3564216103144865E-3</v>
      </c>
      <c r="N70" s="82"/>
      <c r="O70" s="85">
        <f t="shared" si="30"/>
        <v>-2.2000000000000491E-4</v>
      </c>
    </row>
    <row r="71" spans="2:17" s="97" customFormat="1">
      <c r="C71" s="106" t="s">
        <v>263</v>
      </c>
      <c r="D71" s="106" t="s">
        <v>230</v>
      </c>
      <c r="E71" s="108">
        <f>E72-SUM(E69:E70)</f>
        <v>4537195</v>
      </c>
      <c r="F71" s="107">
        <v>4.8320000000000002E-2</v>
      </c>
      <c r="G71" s="101">
        <f t="shared" si="26"/>
        <v>219237.26</v>
      </c>
      <c r="H71" s="125"/>
      <c r="I71" s="112">
        <f t="shared" si="31"/>
        <v>4.8099999999999997E-2</v>
      </c>
      <c r="J71" s="101">
        <f t="shared" si="27"/>
        <v>218239.08</v>
      </c>
      <c r="L71" s="81">
        <f t="shared" si="28"/>
        <v>-998.18000000002212</v>
      </c>
      <c r="M71" s="82">
        <f t="shared" si="29"/>
        <v>-4.5529669546135638E-3</v>
      </c>
      <c r="N71" s="82"/>
      <c r="O71" s="85">
        <f t="shared" si="30"/>
        <v>-2.2000000000000491E-4</v>
      </c>
    </row>
    <row r="72" spans="2:17" s="97" customFormat="1">
      <c r="C72" s="103" t="s">
        <v>562</v>
      </c>
      <c r="D72" s="98"/>
      <c r="E72" s="118">
        <v>17344756</v>
      </c>
      <c r="F72" s="116"/>
      <c r="H72" s="125"/>
      <c r="I72" s="116"/>
    </row>
    <row r="73" spans="2:17" s="97" customFormat="1">
      <c r="C73" s="98" t="s">
        <v>432</v>
      </c>
      <c r="D73" s="98"/>
      <c r="E73" s="108"/>
      <c r="F73" s="116"/>
      <c r="G73" s="119">
        <f>SUM(G63:G71)</f>
        <v>1821943.49</v>
      </c>
      <c r="H73" s="125"/>
      <c r="I73" s="116"/>
      <c r="J73" s="119">
        <f>SUM(J63:J71)</f>
        <v>1813582.88</v>
      </c>
      <c r="L73" s="81">
        <f t="shared" ref="L73" si="32">J73-G73</f>
        <v>-8360.6100000001024</v>
      </c>
      <c r="M73" s="82">
        <f t="shared" ref="M73" si="33">IF(G73&lt;&gt;0,L73/G73,0)</f>
        <v>-4.588841556221978E-3</v>
      </c>
      <c r="N73" s="82"/>
    </row>
    <row r="74" spans="2:17" s="97" customFormat="1">
      <c r="C74" s="98"/>
      <c r="D74" s="98"/>
      <c r="E74" s="108"/>
      <c r="F74" s="116"/>
      <c r="G74" s="114"/>
      <c r="H74" s="125"/>
      <c r="I74" s="116"/>
      <c r="J74" s="114"/>
      <c r="Q74" s="106"/>
    </row>
    <row r="75" spans="2:17" s="97" customFormat="1">
      <c r="B75" s="96" t="s">
        <v>455</v>
      </c>
      <c r="D75" s="98"/>
      <c r="E75" s="108"/>
      <c r="F75" s="116"/>
      <c r="G75" s="124"/>
      <c r="H75" s="125"/>
      <c r="I75" s="116"/>
      <c r="J75" s="124"/>
      <c r="Q75" s="106"/>
    </row>
    <row r="76" spans="2:17" s="97" customFormat="1">
      <c r="C76" s="98" t="s">
        <v>3</v>
      </c>
      <c r="D76" s="98" t="s">
        <v>453</v>
      </c>
      <c r="E76" s="104">
        <f>417+766</f>
        <v>1183</v>
      </c>
      <c r="F76" s="115">
        <v>901.5</v>
      </c>
      <c r="G76" s="101">
        <f>ROUND($E76*F76,2)</f>
        <v>1066474.5</v>
      </c>
      <c r="H76" s="125"/>
      <c r="I76" s="116">
        <f>ROUND(F76*(1+Q68),2)</f>
        <v>897.49</v>
      </c>
      <c r="J76" s="101">
        <f>ROUND($E76*I76,2)</f>
        <v>1061730.67</v>
      </c>
      <c r="L76" s="81">
        <f t="shared" ref="L76:L78" si="34">J76-G76</f>
        <v>-4743.8300000000745</v>
      </c>
      <c r="M76" s="82">
        <f t="shared" ref="M76:M77" si="35">IF(G76&lt;&gt;0,L76/G76,0)</f>
        <v>-4.4481419855796596E-3</v>
      </c>
      <c r="N76" s="82"/>
      <c r="O76" s="83">
        <f t="shared" ref="O76:O77" si="36">I76-F76</f>
        <v>-4.0099999999999909</v>
      </c>
      <c r="Q76" s="65"/>
    </row>
    <row r="77" spans="2:17" s="97" customFormat="1">
      <c r="C77" s="106" t="s">
        <v>186</v>
      </c>
      <c r="D77" s="106" t="s">
        <v>454</v>
      </c>
      <c r="E77" s="104">
        <v>665050</v>
      </c>
      <c r="F77" s="116">
        <f>F64</f>
        <v>1.1499999999999999</v>
      </c>
      <c r="G77" s="101">
        <f>ROUND($E77*F77,2)</f>
        <v>764807.5</v>
      </c>
      <c r="H77" s="125"/>
      <c r="I77" s="116">
        <f>I64</f>
        <v>1.1399999999999999</v>
      </c>
      <c r="J77" s="101">
        <f>ROUND($E77*I77,2)</f>
        <v>758157</v>
      </c>
      <c r="L77" s="81">
        <f t="shared" si="34"/>
        <v>-6650.5</v>
      </c>
      <c r="M77" s="82">
        <f t="shared" si="35"/>
        <v>-8.6956521739130436E-3</v>
      </c>
      <c r="N77" s="82"/>
      <c r="O77" s="83">
        <f t="shared" si="36"/>
        <v>-1.0000000000000009E-2</v>
      </c>
      <c r="Q77" s="127"/>
    </row>
    <row r="78" spans="2:17" s="97" customFormat="1">
      <c r="C78" s="106" t="s">
        <v>564</v>
      </c>
      <c r="D78" s="106"/>
      <c r="E78" s="104"/>
      <c r="F78" s="116"/>
      <c r="G78" s="128">
        <v>213461.01</v>
      </c>
      <c r="H78" s="125"/>
      <c r="I78" s="116"/>
      <c r="J78" s="128">
        <v>213461.01</v>
      </c>
      <c r="L78" s="81">
        <f t="shared" si="34"/>
        <v>0</v>
      </c>
      <c r="M78" s="82">
        <f>IF(G78&lt;&gt;0,L78/G78,0)</f>
        <v>0</v>
      </c>
      <c r="N78" s="82"/>
      <c r="Q78" s="65"/>
    </row>
    <row r="79" spans="2:17" s="97" customFormat="1">
      <c r="C79" s="106"/>
      <c r="D79" s="106"/>
      <c r="E79" s="108"/>
      <c r="F79" s="112"/>
      <c r="G79" s="114"/>
      <c r="H79" s="125"/>
      <c r="I79" s="112"/>
      <c r="J79" s="114"/>
      <c r="Q79" s="101"/>
    </row>
    <row r="80" spans="2:17" s="97" customFormat="1">
      <c r="C80" s="106" t="s">
        <v>187</v>
      </c>
      <c r="D80" s="106"/>
      <c r="E80" s="108"/>
      <c r="F80" s="112"/>
      <c r="G80" s="114"/>
      <c r="H80" s="125"/>
      <c r="I80" s="112"/>
      <c r="J80" s="114"/>
      <c r="Q80" s="65"/>
    </row>
    <row r="81" spans="2:17" s="97" customFormat="1">
      <c r="C81" s="106" t="s">
        <v>261</v>
      </c>
      <c r="D81" s="106" t="s">
        <v>230</v>
      </c>
      <c r="E81" s="104">
        <v>27027671</v>
      </c>
      <c r="F81" s="112">
        <f>F69</f>
        <v>0.10206</v>
      </c>
      <c r="G81" s="101">
        <f t="shared" ref="G81:G83" si="37">ROUND($E81*F81,2)</f>
        <v>2758444.1</v>
      </c>
      <c r="H81" s="125"/>
      <c r="I81" s="112">
        <f>I69</f>
        <v>0.10161000000000001</v>
      </c>
      <c r="J81" s="101">
        <f t="shared" ref="J81:J83" si="38">ROUND($E81*I81,2)</f>
        <v>2746281.65</v>
      </c>
      <c r="L81" s="81">
        <f t="shared" ref="L81:L83" si="39">J81-G81</f>
        <v>-12162.450000000186</v>
      </c>
      <c r="M81" s="82">
        <f>IF(G81&lt;&gt;0,L81/G81,0)</f>
        <v>-4.4091703725300021E-3</v>
      </c>
      <c r="N81" s="82"/>
      <c r="O81" s="85">
        <f t="shared" ref="O81:O83" si="40">I81-F81</f>
        <v>-4.4999999999999207E-4</v>
      </c>
      <c r="Q81" s="129"/>
    </row>
    <row r="82" spans="2:17" s="97" customFormat="1">
      <c r="C82" s="106" t="s">
        <v>262</v>
      </c>
      <c r="D82" s="106" t="s">
        <v>230</v>
      </c>
      <c r="E82" s="104">
        <v>18099259</v>
      </c>
      <c r="F82" s="112">
        <f>F70</f>
        <v>5.0500000000000003E-2</v>
      </c>
      <c r="G82" s="101">
        <f t="shared" si="37"/>
        <v>914012.58</v>
      </c>
      <c r="H82" s="125"/>
      <c r="I82" s="112">
        <f>I70</f>
        <v>5.0279999999999998E-2</v>
      </c>
      <c r="J82" s="101">
        <f t="shared" si="38"/>
        <v>910030.74</v>
      </c>
      <c r="L82" s="81">
        <f t="shared" si="39"/>
        <v>-3981.8399999999674</v>
      </c>
      <c r="M82" s="82">
        <f>IF(G82&lt;&gt;0,L82/G82,0)</f>
        <v>-4.3564389452932558E-3</v>
      </c>
      <c r="N82" s="82"/>
      <c r="O82" s="85">
        <f t="shared" si="40"/>
        <v>-2.2000000000000491E-4</v>
      </c>
      <c r="Q82" s="106"/>
    </row>
    <row r="83" spans="2:17" s="97" customFormat="1">
      <c r="C83" s="106" t="s">
        <v>265</v>
      </c>
      <c r="D83" s="106" t="s">
        <v>230</v>
      </c>
      <c r="E83" s="104">
        <v>31440202</v>
      </c>
      <c r="F83" s="112">
        <f>F71</f>
        <v>4.8320000000000002E-2</v>
      </c>
      <c r="G83" s="101">
        <f t="shared" si="37"/>
        <v>1519190.56</v>
      </c>
      <c r="H83" s="125"/>
      <c r="I83" s="112">
        <f>I71</f>
        <v>4.8099999999999997E-2</v>
      </c>
      <c r="J83" s="101">
        <f t="shared" si="38"/>
        <v>1512273.72</v>
      </c>
      <c r="L83" s="81">
        <f t="shared" si="39"/>
        <v>-6916.8400000000838</v>
      </c>
      <c r="M83" s="82">
        <f>IF(G83&lt;&gt;0,L83/G83,0)</f>
        <v>-4.5529772117594543E-3</v>
      </c>
      <c r="N83" s="82"/>
      <c r="O83" s="85">
        <f t="shared" si="40"/>
        <v>-2.2000000000000491E-4</v>
      </c>
    </row>
    <row r="84" spans="2:17" s="97" customFormat="1">
      <c r="C84" s="103" t="s">
        <v>562</v>
      </c>
      <c r="D84" s="98"/>
      <c r="E84" s="122">
        <f>SUM(E81:E83)</f>
        <v>76567132</v>
      </c>
      <c r="F84" s="116"/>
      <c r="H84" s="125"/>
      <c r="I84" s="116"/>
    </row>
    <row r="85" spans="2:17" s="97" customFormat="1">
      <c r="C85" s="98" t="s">
        <v>432</v>
      </c>
      <c r="D85" s="98"/>
      <c r="E85" s="108"/>
      <c r="F85" s="116"/>
      <c r="G85" s="119">
        <f>SUM(G76:G83)</f>
        <v>7236390.25</v>
      </c>
      <c r="H85" s="125"/>
      <c r="I85" s="116"/>
      <c r="J85" s="119">
        <f>SUM(J76:J83)</f>
        <v>7201934.79</v>
      </c>
      <c r="L85" s="81">
        <f t="shared" ref="L85" si="41">J85-G85</f>
        <v>-34455.459999999963</v>
      </c>
      <c r="M85" s="82">
        <f>IF(G85&lt;&gt;0,L85/G85,0)</f>
        <v>-4.761415403211562E-3</v>
      </c>
      <c r="N85" s="82"/>
    </row>
    <row r="86" spans="2:17" s="97" customFormat="1">
      <c r="C86" s="98"/>
      <c r="D86" s="98"/>
      <c r="E86" s="108"/>
      <c r="F86" s="116"/>
      <c r="G86" s="114"/>
      <c r="H86" s="125"/>
      <c r="I86" s="116"/>
      <c r="J86" s="114"/>
    </row>
    <row r="87" spans="2:17" s="97" customFormat="1">
      <c r="B87" s="96" t="s">
        <v>191</v>
      </c>
      <c r="D87" s="98"/>
      <c r="E87" s="108"/>
      <c r="F87" s="116"/>
      <c r="G87" s="114"/>
      <c r="H87" s="125"/>
      <c r="I87" s="116"/>
      <c r="J87" s="114"/>
    </row>
    <row r="88" spans="2:17" s="97" customFormat="1">
      <c r="C88" s="98" t="s">
        <v>3</v>
      </c>
      <c r="D88" s="98" t="s">
        <v>453</v>
      </c>
      <c r="E88" s="104">
        <f>3557+107</f>
        <v>3664</v>
      </c>
      <c r="F88" s="115">
        <v>144.01</v>
      </c>
      <c r="G88" s="114">
        <f>ROUND($E88*F88,2)</f>
        <v>527652.64</v>
      </c>
      <c r="H88" s="125"/>
      <c r="I88" s="116">
        <f>ROUND(F88*(1+Q93),2)</f>
        <v>143.33000000000001</v>
      </c>
      <c r="J88" s="114">
        <f>ROUND($E88*I88,2)</f>
        <v>525161.12</v>
      </c>
      <c r="L88" s="81">
        <f t="shared" ref="L88:L91" si="42">J88-G88</f>
        <v>-2491.5200000000186</v>
      </c>
      <c r="M88" s="82">
        <f t="shared" ref="M88:M91" si="43">IF(G88&lt;&gt;0,L88/G88,0)</f>
        <v>-4.7218943128949729E-3</v>
      </c>
      <c r="N88" s="82"/>
      <c r="O88" s="83">
        <f t="shared" ref="O88:O90" si="44">I88-F88</f>
        <v>-0.6799999999999784</v>
      </c>
      <c r="Q88" s="84" t="s">
        <v>563</v>
      </c>
    </row>
    <row r="89" spans="2:17" s="97" customFormat="1">
      <c r="C89" s="106" t="s">
        <v>186</v>
      </c>
      <c r="D89" s="106" t="s">
        <v>454</v>
      </c>
      <c r="E89" s="104">
        <v>93477</v>
      </c>
      <c r="F89" s="116">
        <f>F64</f>
        <v>1.1499999999999999</v>
      </c>
      <c r="G89" s="114">
        <f>ROUND($E89*F89,2)</f>
        <v>107498.55</v>
      </c>
      <c r="H89" s="125"/>
      <c r="I89" s="116">
        <f>I64</f>
        <v>1.1399999999999999</v>
      </c>
      <c r="J89" s="114">
        <f>ROUND($E89*I89,2)</f>
        <v>106563.78</v>
      </c>
      <c r="L89" s="81">
        <f t="shared" si="42"/>
        <v>-934.77000000000407</v>
      </c>
      <c r="M89" s="82">
        <f t="shared" si="43"/>
        <v>-8.6956521739130817E-3</v>
      </c>
      <c r="N89" s="82"/>
      <c r="O89" s="83">
        <f t="shared" si="44"/>
        <v>-1.0000000000000009E-2</v>
      </c>
      <c r="Q89" s="86">
        <v>-12819.613272874121</v>
      </c>
    </row>
    <row r="90" spans="2:17" s="97" customFormat="1">
      <c r="C90" s="106" t="s">
        <v>192</v>
      </c>
      <c r="D90" s="106" t="s">
        <v>230</v>
      </c>
      <c r="E90" s="108">
        <f>E96</f>
        <v>12317849</v>
      </c>
      <c r="F90" s="107">
        <v>6.8100000000000001E-3</v>
      </c>
      <c r="G90" s="114">
        <f>ROUND($E90*F90,2)</f>
        <v>83884.55</v>
      </c>
      <c r="H90" s="125"/>
      <c r="I90" s="112">
        <f>ROUND(F90*(1+$Q$93),5)</f>
        <v>6.7799999999999996E-3</v>
      </c>
      <c r="J90" s="114">
        <f>ROUND($E90*I90,2)</f>
        <v>83515.02</v>
      </c>
      <c r="L90" s="81">
        <f t="shared" si="42"/>
        <v>-369.52999999999884</v>
      </c>
      <c r="M90" s="82">
        <f t="shared" si="43"/>
        <v>-4.4052212236937414E-3</v>
      </c>
      <c r="N90" s="82"/>
      <c r="O90" s="85">
        <f t="shared" si="44"/>
        <v>-3.0000000000000512E-5</v>
      </c>
      <c r="Q90" s="87" t="s">
        <v>553</v>
      </c>
    </row>
    <row r="91" spans="2:17" s="97" customFormat="1">
      <c r="C91" s="106" t="s">
        <v>564</v>
      </c>
      <c r="D91" s="106"/>
      <c r="E91" s="108"/>
      <c r="F91" s="112"/>
      <c r="G91" s="128">
        <v>72481.48000000001</v>
      </c>
      <c r="H91" s="125"/>
      <c r="I91" s="112"/>
      <c r="J91" s="128">
        <v>72481.48000000001</v>
      </c>
      <c r="L91" s="81">
        <f t="shared" si="42"/>
        <v>0</v>
      </c>
      <c r="M91" s="82">
        <f t="shared" si="43"/>
        <v>0</v>
      </c>
      <c r="N91" s="82"/>
      <c r="Q91" s="89">
        <f>L97+L108-Q89</f>
        <v>36.043272873934256</v>
      </c>
    </row>
    <row r="92" spans="2:17" s="97" customFormat="1">
      <c r="C92" s="106"/>
      <c r="D92" s="106"/>
      <c r="E92" s="108"/>
      <c r="F92" s="112"/>
      <c r="G92" s="114"/>
      <c r="H92" s="125"/>
      <c r="I92" s="112"/>
      <c r="J92" s="114"/>
      <c r="Q92" s="87" t="s">
        <v>554</v>
      </c>
    </row>
    <row r="93" spans="2:17" s="97" customFormat="1">
      <c r="C93" s="106" t="s">
        <v>187</v>
      </c>
      <c r="D93" s="106"/>
      <c r="E93" s="108"/>
      <c r="F93" s="112"/>
      <c r="G93" s="114"/>
      <c r="H93" s="125"/>
      <c r="I93" s="112"/>
      <c r="J93" s="114"/>
      <c r="Q93" s="91">
        <v>-4.7000000000000002E-3</v>
      </c>
    </row>
    <row r="94" spans="2:17" s="97" customFormat="1">
      <c r="C94" s="99" t="s">
        <v>193</v>
      </c>
      <c r="D94" s="99" t="s">
        <v>230</v>
      </c>
      <c r="E94" s="104">
        <v>2903910</v>
      </c>
      <c r="F94" s="107">
        <v>0.19916</v>
      </c>
      <c r="G94" s="114">
        <f>ROUND($E94*F94,2)</f>
        <v>578342.72</v>
      </c>
      <c r="H94" s="125"/>
      <c r="I94" s="112">
        <f>ROUND(F94*(1+$Q$93),5)</f>
        <v>0.19822000000000001</v>
      </c>
      <c r="J94" s="114">
        <f>ROUND($E94*I94,2)</f>
        <v>575613.04</v>
      </c>
      <c r="L94" s="81">
        <f t="shared" ref="L94:L95" si="45">J94-G94</f>
        <v>-2729.6799999999348</v>
      </c>
      <c r="M94" s="82">
        <f t="shared" ref="M94:M95" si="46">IF(G94&lt;&gt;0,L94/G94,0)</f>
        <v>-4.7198311755353899E-3</v>
      </c>
      <c r="N94" s="82"/>
      <c r="O94" s="85">
        <f t="shared" ref="O94:O95" si="47">I94-F94</f>
        <v>-9.3999999999999639E-4</v>
      </c>
    </row>
    <row r="95" spans="2:17" s="97" customFormat="1">
      <c r="C95" s="99" t="s">
        <v>194</v>
      </c>
      <c r="D95" s="99" t="s">
        <v>230</v>
      </c>
      <c r="E95" s="108">
        <f>E96-E94</f>
        <v>9413939</v>
      </c>
      <c r="F95" s="107">
        <v>0.14119999999999999</v>
      </c>
      <c r="G95" s="114">
        <f>ROUND($E95*F95,2)</f>
        <v>1329248.19</v>
      </c>
      <c r="H95" s="125"/>
      <c r="I95" s="112">
        <f>ROUND(F95*(1+$Q$93),5)</f>
        <v>0.14054</v>
      </c>
      <c r="J95" s="114">
        <f>ROUND($E95*I95,2)</f>
        <v>1323034.99</v>
      </c>
      <c r="L95" s="81">
        <f t="shared" si="45"/>
        <v>-6213.1999999999534</v>
      </c>
      <c r="M95" s="82">
        <f t="shared" si="46"/>
        <v>-4.6742211475194516E-3</v>
      </c>
      <c r="N95" s="82"/>
      <c r="O95" s="85">
        <f t="shared" si="47"/>
        <v>-6.5999999999999392E-4</v>
      </c>
    </row>
    <row r="96" spans="2:17" s="97" customFormat="1">
      <c r="C96" s="103" t="s">
        <v>562</v>
      </c>
      <c r="D96" s="106" t="s">
        <v>230</v>
      </c>
      <c r="E96" s="118">
        <v>12317849</v>
      </c>
      <c r="F96" s="116"/>
      <c r="H96" s="125"/>
      <c r="I96" s="116"/>
    </row>
    <row r="97" spans="2:17" s="97" customFormat="1">
      <c r="C97" s="98" t="s">
        <v>432</v>
      </c>
      <c r="D97" s="106"/>
      <c r="E97" s="108"/>
      <c r="F97" s="116"/>
      <c r="G97" s="119">
        <f>SUM(G88:G95)</f>
        <v>2699108.13</v>
      </c>
      <c r="H97" s="125"/>
      <c r="I97" s="116"/>
      <c r="J97" s="119">
        <f>SUM(J88:J95)</f>
        <v>2686369.4299999997</v>
      </c>
      <c r="L97" s="81">
        <f t="shared" ref="L97" si="48">J97-G97</f>
        <v>-12738.700000000186</v>
      </c>
      <c r="M97" s="82">
        <f>IF(G97&lt;&gt;0,L97/G97,0)</f>
        <v>-4.7195960244839049E-3</v>
      </c>
      <c r="N97" s="82"/>
      <c r="Q97" s="106"/>
    </row>
    <row r="98" spans="2:17" s="97" customFormat="1">
      <c r="C98" s="98"/>
      <c r="D98" s="98"/>
      <c r="E98" s="108"/>
      <c r="F98" s="116"/>
      <c r="G98" s="114"/>
      <c r="H98" s="125"/>
      <c r="I98" s="116"/>
      <c r="J98" s="114"/>
      <c r="Q98" s="106"/>
    </row>
    <row r="99" spans="2:17" s="97" customFormat="1">
      <c r="B99" s="96" t="s">
        <v>195</v>
      </c>
      <c r="D99" s="98"/>
      <c r="E99" s="108"/>
      <c r="F99" s="116"/>
      <c r="G99" s="114"/>
      <c r="H99" s="125"/>
      <c r="I99" s="116"/>
      <c r="J99" s="114"/>
      <c r="Q99" s="106"/>
    </row>
    <row r="100" spans="2:17" s="97" customFormat="1">
      <c r="B100" s="106"/>
      <c r="C100" s="98" t="s">
        <v>3</v>
      </c>
      <c r="D100" s="98" t="s">
        <v>453</v>
      </c>
      <c r="E100" s="104">
        <v>12</v>
      </c>
      <c r="F100" s="115">
        <v>458.22</v>
      </c>
      <c r="G100" s="114">
        <f>ROUND($E100*F100,2)</f>
        <v>5498.64</v>
      </c>
      <c r="H100" s="125"/>
      <c r="I100" s="116">
        <f>ROUND(F100*(1+Q93),2)</f>
        <v>456.07</v>
      </c>
      <c r="J100" s="114">
        <f>ROUND($E100*I100,2)</f>
        <v>5472.84</v>
      </c>
      <c r="L100" s="81">
        <f t="shared" ref="L100:L102" si="49">J100-G100</f>
        <v>-25.800000000000182</v>
      </c>
      <c r="M100" s="82">
        <f t="shared" ref="M100:M102" si="50">IF(G100&lt;&gt;0,L100/G100,0)</f>
        <v>-4.6920693116843763E-3</v>
      </c>
      <c r="N100" s="82"/>
      <c r="O100" s="83">
        <f t="shared" ref="O100:O101" si="51">I100-F100</f>
        <v>-2.1500000000000341</v>
      </c>
      <c r="Q100" s="65"/>
    </row>
    <row r="101" spans="2:17" s="97" customFormat="1">
      <c r="B101" s="106"/>
      <c r="C101" s="106" t="s">
        <v>186</v>
      </c>
      <c r="D101" s="106" t="s">
        <v>454</v>
      </c>
      <c r="E101" s="104">
        <v>0</v>
      </c>
      <c r="F101" s="116">
        <f>F89</f>
        <v>1.1499999999999999</v>
      </c>
      <c r="G101" s="114">
        <f>ROUND($E101*F101,2)</f>
        <v>0</v>
      </c>
      <c r="H101" s="125"/>
      <c r="I101" s="116">
        <f>I89</f>
        <v>1.1399999999999999</v>
      </c>
      <c r="J101" s="114">
        <f>ROUND($E101*I101,2)</f>
        <v>0</v>
      </c>
      <c r="L101" s="81">
        <f t="shared" si="49"/>
        <v>0</v>
      </c>
      <c r="M101" s="82">
        <f t="shared" si="50"/>
        <v>0</v>
      </c>
      <c r="N101" s="82"/>
      <c r="O101" s="83">
        <f t="shared" si="51"/>
        <v>-1.0000000000000009E-2</v>
      </c>
      <c r="Q101" s="127"/>
    </row>
    <row r="102" spans="2:17" s="97" customFormat="1">
      <c r="B102" s="106"/>
      <c r="C102" s="106" t="s">
        <v>564</v>
      </c>
      <c r="D102" s="106"/>
      <c r="E102" s="108"/>
      <c r="F102" s="112"/>
      <c r="G102" s="128">
        <v>0</v>
      </c>
      <c r="H102" s="125"/>
      <c r="I102" s="112"/>
      <c r="J102" s="128">
        <v>0</v>
      </c>
      <c r="L102" s="81">
        <f t="shared" si="49"/>
        <v>0</v>
      </c>
      <c r="M102" s="82">
        <f t="shared" si="50"/>
        <v>0</v>
      </c>
      <c r="N102" s="82"/>
      <c r="Q102" s="65"/>
    </row>
    <row r="103" spans="2:17" s="97" customFormat="1">
      <c r="B103" s="106"/>
      <c r="C103" s="106"/>
      <c r="D103" s="106"/>
      <c r="E103" s="108"/>
      <c r="F103" s="112"/>
      <c r="G103" s="114"/>
      <c r="H103" s="125"/>
      <c r="I103" s="112"/>
      <c r="J103" s="114"/>
      <c r="Q103" s="101"/>
    </row>
    <row r="104" spans="2:17" s="97" customFormat="1">
      <c r="B104" s="106"/>
      <c r="C104" s="106" t="s">
        <v>187</v>
      </c>
      <c r="D104" s="106"/>
      <c r="E104" s="108"/>
      <c r="F104" s="112"/>
      <c r="G104" s="114"/>
      <c r="H104" s="125"/>
      <c r="I104" s="112"/>
      <c r="J104" s="114"/>
      <c r="Q104" s="65"/>
    </row>
    <row r="105" spans="2:17" s="97" customFormat="1">
      <c r="B105" s="106"/>
      <c r="C105" s="99" t="s">
        <v>193</v>
      </c>
      <c r="D105" s="99" t="s">
        <v>230</v>
      </c>
      <c r="E105" s="104">
        <v>5459</v>
      </c>
      <c r="F105" s="112">
        <f>F94</f>
        <v>0.19916</v>
      </c>
      <c r="G105" s="114">
        <f>ROUND($E105*F105,2)</f>
        <v>1087.21</v>
      </c>
      <c r="H105" s="125"/>
      <c r="I105" s="112">
        <f>I94</f>
        <v>0.19822000000000001</v>
      </c>
      <c r="J105" s="114">
        <f>ROUND($E105*I105,2)</f>
        <v>1082.08</v>
      </c>
      <c r="L105" s="81">
        <f t="shared" ref="L105:L106" si="52">J105-G105</f>
        <v>-5.1300000000001091</v>
      </c>
      <c r="M105" s="82">
        <f t="shared" ref="M105:M106" si="53">IF(G105&lt;&gt;0,L105/G105,0)</f>
        <v>-4.7184996458826808E-3</v>
      </c>
      <c r="N105" s="82"/>
      <c r="O105" s="85">
        <f>I105-F105</f>
        <v>-9.3999999999999639E-4</v>
      </c>
      <c r="Q105" s="129"/>
    </row>
    <row r="106" spans="2:17" s="97" customFormat="1">
      <c r="B106" s="106"/>
      <c r="C106" s="99" t="s">
        <v>194</v>
      </c>
      <c r="D106" s="99" t="s">
        <v>230</v>
      </c>
      <c r="E106" s="104">
        <v>21114</v>
      </c>
      <c r="F106" s="112">
        <f>F95</f>
        <v>0.14119999999999999</v>
      </c>
      <c r="G106" s="114">
        <f>ROUND($E106*F106,2)</f>
        <v>2981.3</v>
      </c>
      <c r="H106" s="125"/>
      <c r="I106" s="112">
        <f>I95</f>
        <v>0.14054</v>
      </c>
      <c r="J106" s="114">
        <f>ROUND($E106*I106,2)</f>
        <v>2967.36</v>
      </c>
      <c r="L106" s="81">
        <f t="shared" si="52"/>
        <v>-13.940000000000055</v>
      </c>
      <c r="M106" s="82">
        <f t="shared" si="53"/>
        <v>-4.6758125649884455E-3</v>
      </c>
      <c r="N106" s="82"/>
      <c r="O106" s="85">
        <f t="shared" ref="O106" si="54">I106-F106</f>
        <v>-6.5999999999999392E-4</v>
      </c>
      <c r="Q106" s="106"/>
    </row>
    <row r="107" spans="2:17" s="97" customFormat="1">
      <c r="C107" s="103" t="s">
        <v>562</v>
      </c>
      <c r="D107" s="106" t="s">
        <v>230</v>
      </c>
      <c r="E107" s="122">
        <f>SUM(E105:E106)</f>
        <v>26573</v>
      </c>
      <c r="F107" s="116"/>
      <c r="H107" s="125"/>
      <c r="I107" s="116"/>
    </row>
    <row r="108" spans="2:17" s="97" customFormat="1">
      <c r="C108" s="98" t="s">
        <v>432</v>
      </c>
      <c r="D108" s="106"/>
      <c r="E108" s="108"/>
      <c r="F108" s="116"/>
      <c r="G108" s="119">
        <f>SUM(G100:G106)</f>
        <v>9567.1500000000015</v>
      </c>
      <c r="H108" s="125"/>
      <c r="I108" s="116"/>
      <c r="J108" s="119">
        <f>SUM(J100:J106)</f>
        <v>9522.2800000000007</v>
      </c>
      <c r="L108" s="81">
        <f t="shared" ref="L108" si="55">J108-G108</f>
        <v>-44.8700000000008</v>
      </c>
      <c r="M108" s="82">
        <f>IF(G108&lt;&gt;0,L108/G108,0)</f>
        <v>-4.6900069508684188E-3</v>
      </c>
      <c r="N108" s="82"/>
    </row>
    <row r="109" spans="2:17" s="97" customFormat="1">
      <c r="B109" s="106"/>
      <c r="C109" s="98"/>
      <c r="D109" s="98"/>
      <c r="E109" s="108"/>
      <c r="F109" s="116"/>
      <c r="G109" s="114"/>
      <c r="H109" s="125"/>
      <c r="I109" s="116"/>
      <c r="J109" s="114"/>
    </row>
    <row r="110" spans="2:17" s="97" customFormat="1">
      <c r="B110" s="96" t="s">
        <v>456</v>
      </c>
      <c r="D110" s="98"/>
      <c r="E110" s="108"/>
      <c r="F110" s="116"/>
      <c r="G110" s="114"/>
      <c r="H110" s="125"/>
      <c r="I110" s="116"/>
      <c r="J110" s="114"/>
    </row>
    <row r="111" spans="2:17" s="97" customFormat="1">
      <c r="C111" s="98" t="s">
        <v>3</v>
      </c>
      <c r="D111" s="98" t="s">
        <v>453</v>
      </c>
      <c r="E111" s="104">
        <v>84</v>
      </c>
      <c r="F111" s="115">
        <v>579.19000000000005</v>
      </c>
      <c r="G111" s="114">
        <f>ROUND($E111*F111,2)</f>
        <v>48651.96</v>
      </c>
      <c r="H111" s="125"/>
      <c r="I111" s="116">
        <f>ROUND(F111*(1+Q116),2)</f>
        <v>575.77</v>
      </c>
      <c r="J111" s="114">
        <f>ROUND($E111*I111,2)</f>
        <v>48364.68</v>
      </c>
      <c r="L111" s="81">
        <f t="shared" ref="L111:L114" si="56">J111-G111</f>
        <v>-287.27999999999884</v>
      </c>
      <c r="M111" s="82">
        <f>IF(G111&lt;&gt;0,L111/G111,0)</f>
        <v>-5.904798080077326E-3</v>
      </c>
      <c r="N111" s="82"/>
      <c r="O111" s="83">
        <f t="shared" ref="O111:O113" si="57">I111-F111</f>
        <v>-3.4200000000000728</v>
      </c>
      <c r="Q111" s="84" t="s">
        <v>563</v>
      </c>
    </row>
    <row r="112" spans="2:17" s="97" customFormat="1">
      <c r="C112" s="106" t="s">
        <v>186</v>
      </c>
      <c r="D112" s="106" t="s">
        <v>454</v>
      </c>
      <c r="E112" s="104">
        <v>2184</v>
      </c>
      <c r="F112" s="116">
        <f>F64</f>
        <v>1.1499999999999999</v>
      </c>
      <c r="G112" s="114">
        <f>ROUND($E112*F112,2)</f>
        <v>2511.6</v>
      </c>
      <c r="H112" s="125"/>
      <c r="I112" s="116">
        <f>I64</f>
        <v>1.1399999999999999</v>
      </c>
      <c r="J112" s="114">
        <f>ROUND($E112*I112,2)</f>
        <v>2489.7600000000002</v>
      </c>
      <c r="L112" s="81">
        <f t="shared" si="56"/>
        <v>-21.839999999999691</v>
      </c>
      <c r="M112" s="82">
        <f t="shared" ref="M112:M114" si="58">IF(G112&lt;&gt;0,L112/G112,0)</f>
        <v>-8.6956521739129204E-3</v>
      </c>
      <c r="N112" s="82"/>
      <c r="O112" s="83">
        <f t="shared" si="57"/>
        <v>-1.0000000000000009E-2</v>
      </c>
      <c r="Q112" s="86">
        <v>-28769.072760324063</v>
      </c>
    </row>
    <row r="113" spans="2:17" s="97" customFormat="1">
      <c r="C113" s="106" t="s">
        <v>192</v>
      </c>
      <c r="D113" s="106"/>
      <c r="E113" s="108">
        <f>E123</f>
        <v>26567234</v>
      </c>
      <c r="F113" s="107">
        <v>5.3899999999999998E-3</v>
      </c>
      <c r="G113" s="114">
        <f>ROUND($E113*F113,2)</f>
        <v>143197.39000000001</v>
      </c>
      <c r="H113" s="125"/>
      <c r="I113" s="112">
        <f>ROUND(F113*(1+$Q$116),5)</f>
        <v>5.3600000000000002E-3</v>
      </c>
      <c r="J113" s="114">
        <f>ROUND($E113*I113,2)</f>
        <v>142400.37</v>
      </c>
      <c r="L113" s="81">
        <f t="shared" si="56"/>
        <v>-797.02000000001863</v>
      </c>
      <c r="M113" s="82">
        <f t="shared" si="58"/>
        <v>-5.5658835681294087E-3</v>
      </c>
      <c r="N113" s="82"/>
      <c r="O113" s="85">
        <f t="shared" si="57"/>
        <v>-2.9999999999999645E-5</v>
      </c>
      <c r="Q113" s="87" t="s">
        <v>553</v>
      </c>
    </row>
    <row r="114" spans="2:17" s="97" customFormat="1">
      <c r="C114" s="99" t="s">
        <v>564</v>
      </c>
      <c r="D114" s="99"/>
      <c r="E114" s="108"/>
      <c r="F114" s="112" t="s">
        <v>565</v>
      </c>
      <c r="G114" s="128">
        <v>457271</v>
      </c>
      <c r="H114" s="125"/>
      <c r="I114" s="112" t="s">
        <v>565</v>
      </c>
      <c r="J114" s="128">
        <v>457271</v>
      </c>
      <c r="L114" s="81">
        <f t="shared" si="56"/>
        <v>0</v>
      </c>
      <c r="M114" s="82">
        <f t="shared" si="58"/>
        <v>0</v>
      </c>
      <c r="N114" s="82"/>
      <c r="Q114" s="89">
        <f>L124+L139-Q112</f>
        <v>-141.21723967457729</v>
      </c>
    </row>
    <row r="115" spans="2:17" s="97" customFormat="1">
      <c r="C115" s="106"/>
      <c r="D115" s="106"/>
      <c r="E115" s="108"/>
      <c r="F115" s="112"/>
      <c r="G115" s="114"/>
      <c r="H115" s="125"/>
      <c r="I115" s="112"/>
      <c r="J115" s="114"/>
      <c r="Q115" s="87" t="s">
        <v>554</v>
      </c>
    </row>
    <row r="116" spans="2:17" s="97" customFormat="1">
      <c r="C116" s="106" t="s">
        <v>187</v>
      </c>
      <c r="D116" s="106"/>
      <c r="E116" s="108"/>
      <c r="F116" s="112"/>
      <c r="G116" s="114"/>
      <c r="H116" s="125"/>
      <c r="I116" s="112"/>
      <c r="J116" s="114"/>
      <c r="Q116" s="91">
        <v>-5.8999999999999999E-3</v>
      </c>
    </row>
    <row r="117" spans="2:17" s="97" customFormat="1">
      <c r="C117" s="106" t="s">
        <v>261</v>
      </c>
      <c r="D117" s="106" t="s">
        <v>230</v>
      </c>
      <c r="E117" s="104">
        <v>2100000</v>
      </c>
      <c r="F117" s="107">
        <v>0.14454</v>
      </c>
      <c r="G117" s="114">
        <f>ROUND($E117*F117,2)</f>
        <v>303534</v>
      </c>
      <c r="H117" s="125"/>
      <c r="I117" s="112">
        <f t="shared" ref="I117:I122" si="59">ROUND(F117*(1+$Q$116),5)</f>
        <v>0.14369000000000001</v>
      </c>
      <c r="J117" s="114">
        <f>ROUND($E117*I117,2)</f>
        <v>301749</v>
      </c>
      <c r="L117" s="81">
        <f t="shared" ref="L117:L122" si="60">J117-G117</f>
        <v>-1785</v>
      </c>
      <c r="M117" s="82">
        <f t="shared" ref="M117:M122" si="61">IF(G117&lt;&gt;0,L117/G117,0)</f>
        <v>-5.8807250588072506E-3</v>
      </c>
      <c r="N117" s="82"/>
      <c r="O117" s="85">
        <f t="shared" ref="O117:O122" si="62">I117-F117</f>
        <v>-8.4999999999998965E-4</v>
      </c>
    </row>
    <row r="118" spans="2:17" s="97" customFormat="1">
      <c r="C118" s="106" t="s">
        <v>262</v>
      </c>
      <c r="D118" s="106" t="s">
        <v>230</v>
      </c>
      <c r="E118" s="104">
        <v>2055807</v>
      </c>
      <c r="F118" s="107">
        <v>8.7349999999999997E-2</v>
      </c>
      <c r="G118" s="114">
        <f t="shared" ref="G118:G122" si="63">ROUND($E118*F118,2)</f>
        <v>179574.74</v>
      </c>
      <c r="H118" s="125"/>
      <c r="I118" s="112">
        <f t="shared" si="59"/>
        <v>8.6830000000000004E-2</v>
      </c>
      <c r="J118" s="114">
        <f t="shared" ref="J118:J122" si="64">ROUND($E118*I118,2)</f>
        <v>178505.72</v>
      </c>
      <c r="L118" s="81">
        <f t="shared" si="60"/>
        <v>-1069.0199999999895</v>
      </c>
      <c r="M118" s="82">
        <f t="shared" si="61"/>
        <v>-5.9530644454781866E-3</v>
      </c>
      <c r="N118" s="82"/>
      <c r="O118" s="85">
        <f t="shared" si="62"/>
        <v>-5.1999999999999269E-4</v>
      </c>
    </row>
    <row r="119" spans="2:17" s="97" customFormat="1">
      <c r="C119" s="106" t="s">
        <v>265</v>
      </c>
      <c r="D119" s="106" t="s">
        <v>230</v>
      </c>
      <c r="E119" s="104">
        <v>3801695</v>
      </c>
      <c r="F119" s="107">
        <v>5.5579999999999997E-2</v>
      </c>
      <c r="G119" s="114">
        <f t="shared" si="63"/>
        <v>211298.21</v>
      </c>
      <c r="H119" s="125"/>
      <c r="I119" s="112">
        <f t="shared" si="59"/>
        <v>5.525E-2</v>
      </c>
      <c r="J119" s="114">
        <f t="shared" si="64"/>
        <v>210043.65</v>
      </c>
      <c r="L119" s="81">
        <f t="shared" si="60"/>
        <v>-1254.5599999999977</v>
      </c>
      <c r="M119" s="82">
        <f t="shared" si="61"/>
        <v>-5.9373905723100907E-3</v>
      </c>
      <c r="N119" s="82"/>
      <c r="O119" s="85">
        <f t="shared" si="62"/>
        <v>-3.2999999999999696E-4</v>
      </c>
    </row>
    <row r="120" spans="2:17" s="97" customFormat="1">
      <c r="C120" s="106" t="s">
        <v>267</v>
      </c>
      <c r="D120" s="106" t="s">
        <v>230</v>
      </c>
      <c r="E120" s="104">
        <v>5152762</v>
      </c>
      <c r="F120" s="107">
        <v>3.5639999999999998E-2</v>
      </c>
      <c r="G120" s="114">
        <f t="shared" si="63"/>
        <v>183644.44</v>
      </c>
      <c r="H120" s="125"/>
      <c r="I120" s="112">
        <f t="shared" si="59"/>
        <v>3.5430000000000003E-2</v>
      </c>
      <c r="J120" s="114">
        <f t="shared" si="64"/>
        <v>182562.36</v>
      </c>
      <c r="L120" s="81">
        <f t="shared" si="60"/>
        <v>-1082.0800000000163</v>
      </c>
      <c r="M120" s="82">
        <f t="shared" si="61"/>
        <v>-5.8922557089123757E-3</v>
      </c>
      <c r="N120" s="82"/>
      <c r="O120" s="85">
        <f t="shared" si="62"/>
        <v>-2.0999999999999491E-4</v>
      </c>
    </row>
    <row r="121" spans="2:17" s="97" customFormat="1">
      <c r="C121" s="106" t="s">
        <v>268</v>
      </c>
      <c r="D121" s="106" t="s">
        <v>230</v>
      </c>
      <c r="E121" s="104">
        <v>4864411</v>
      </c>
      <c r="F121" s="107">
        <v>2.564E-2</v>
      </c>
      <c r="G121" s="114">
        <f t="shared" si="63"/>
        <v>124723.5</v>
      </c>
      <c r="H121" s="125"/>
      <c r="I121" s="112">
        <f t="shared" si="59"/>
        <v>2.5489999999999999E-2</v>
      </c>
      <c r="J121" s="114">
        <f t="shared" si="64"/>
        <v>123993.84</v>
      </c>
      <c r="L121" s="81">
        <f t="shared" si="60"/>
        <v>-729.66000000000349</v>
      </c>
      <c r="M121" s="82">
        <f t="shared" si="61"/>
        <v>-5.8502206881622431E-3</v>
      </c>
      <c r="N121" s="82"/>
      <c r="O121" s="85">
        <f t="shared" si="62"/>
        <v>-1.5000000000000083E-4</v>
      </c>
    </row>
    <row r="122" spans="2:17" s="97" customFormat="1">
      <c r="C122" s="106" t="s">
        <v>269</v>
      </c>
      <c r="D122" s="106" t="s">
        <v>230</v>
      </c>
      <c r="E122" s="108">
        <f>E123-SUM(E117:E121)</f>
        <v>8592559</v>
      </c>
      <c r="F122" s="107">
        <v>1.9769999999999999E-2</v>
      </c>
      <c r="G122" s="114">
        <f t="shared" si="63"/>
        <v>169874.89</v>
      </c>
      <c r="H122" s="125"/>
      <c r="I122" s="112">
        <f t="shared" si="59"/>
        <v>1.9650000000000001E-2</v>
      </c>
      <c r="J122" s="114">
        <f t="shared" si="64"/>
        <v>168843.78</v>
      </c>
      <c r="L122" s="81">
        <f t="shared" si="60"/>
        <v>-1031.1100000000151</v>
      </c>
      <c r="M122" s="82">
        <f t="shared" si="61"/>
        <v>-6.0698199716274432E-3</v>
      </c>
      <c r="N122" s="82"/>
      <c r="O122" s="85">
        <f t="shared" si="62"/>
        <v>-1.1999999999999858E-4</v>
      </c>
    </row>
    <row r="123" spans="2:17" s="97" customFormat="1">
      <c r="C123" s="103" t="s">
        <v>562</v>
      </c>
      <c r="D123" s="106" t="s">
        <v>230</v>
      </c>
      <c r="E123" s="118">
        <v>26567234</v>
      </c>
      <c r="F123" s="116"/>
      <c r="H123" s="125"/>
      <c r="I123" s="116"/>
    </row>
    <row r="124" spans="2:17" s="97" customFormat="1">
      <c r="C124" s="98" t="s">
        <v>432</v>
      </c>
      <c r="D124" s="106"/>
      <c r="E124" s="108"/>
      <c r="F124" s="116"/>
      <c r="G124" s="119">
        <f>SUM(G111:G122)</f>
        <v>1824281.73</v>
      </c>
      <c r="H124" s="125"/>
      <c r="I124" s="116"/>
      <c r="J124" s="119">
        <f>SUM(J111:J122)</f>
        <v>1816224.1600000001</v>
      </c>
      <c r="L124" s="81">
        <f t="shared" ref="L124" si="65">J124-G124</f>
        <v>-8057.5699999998324</v>
      </c>
      <c r="M124" s="82">
        <f>IF(G124&lt;&gt;0,L124/G124,0)</f>
        <v>-4.4168451985756784E-3</v>
      </c>
      <c r="N124" s="82"/>
    </row>
    <row r="125" spans="2:17" s="97" customFormat="1">
      <c r="C125" s="98"/>
      <c r="D125" s="98"/>
      <c r="E125" s="108"/>
      <c r="F125" s="116"/>
      <c r="G125" s="114"/>
      <c r="H125" s="125"/>
      <c r="I125" s="116"/>
      <c r="J125" s="114"/>
    </row>
    <row r="126" spans="2:17" s="97" customFormat="1">
      <c r="B126" s="96" t="s">
        <v>457</v>
      </c>
      <c r="D126" s="98"/>
      <c r="E126" s="108"/>
      <c r="F126" s="116"/>
      <c r="G126" s="114"/>
      <c r="H126" s="125"/>
      <c r="I126" s="116"/>
      <c r="J126" s="114"/>
      <c r="Q126" s="106"/>
    </row>
    <row r="127" spans="2:17" s="97" customFormat="1">
      <c r="B127" s="106"/>
      <c r="C127" s="98" t="s">
        <v>3</v>
      </c>
      <c r="D127" s="98" t="s">
        <v>453</v>
      </c>
      <c r="E127" s="104">
        <v>118</v>
      </c>
      <c r="F127" s="115">
        <v>926.71</v>
      </c>
      <c r="G127" s="114">
        <f>ROUND($E127*F127,2)</f>
        <v>109351.78</v>
      </c>
      <c r="H127" s="125"/>
      <c r="I127" s="116">
        <f>ROUND(F127*(1+Q116),2)</f>
        <v>921.24</v>
      </c>
      <c r="J127" s="114">
        <f>ROUND($E127*I127,2)</f>
        <v>108706.32</v>
      </c>
      <c r="L127" s="81">
        <f t="shared" ref="L127:L129" si="66">J127-G127</f>
        <v>-645.45999999999185</v>
      </c>
      <c r="M127" s="82">
        <f>IF(G127&lt;&gt;0,L127/G127,0)</f>
        <v>-5.9026016768999262E-3</v>
      </c>
      <c r="N127" s="82"/>
      <c r="O127" s="83">
        <f t="shared" ref="O127:O128" si="67">I127-F127</f>
        <v>-5.4700000000000273</v>
      </c>
      <c r="Q127" s="65"/>
    </row>
    <row r="128" spans="2:17" s="97" customFormat="1">
      <c r="B128" s="106"/>
      <c r="C128" s="106" t="s">
        <v>186</v>
      </c>
      <c r="D128" s="106" t="s">
        <v>454</v>
      </c>
      <c r="E128" s="104">
        <v>332988</v>
      </c>
      <c r="F128" s="116">
        <f>F112</f>
        <v>1.1499999999999999</v>
      </c>
      <c r="G128" s="114">
        <f>ROUND($E128*F128,2)</f>
        <v>382936.2</v>
      </c>
      <c r="H128" s="125"/>
      <c r="I128" s="116">
        <f>I112</f>
        <v>1.1399999999999999</v>
      </c>
      <c r="J128" s="114">
        <f>ROUND($E128*I128,2)</f>
        <v>379606.32</v>
      </c>
      <c r="L128" s="81">
        <f t="shared" si="66"/>
        <v>-3329.8800000000047</v>
      </c>
      <c r="M128" s="82">
        <f>IF(G128&lt;&gt;0,L128/G128,0)</f>
        <v>-8.6956521739130557E-3</v>
      </c>
      <c r="N128" s="82"/>
      <c r="O128" s="83">
        <f t="shared" si="67"/>
        <v>-1.0000000000000009E-2</v>
      </c>
      <c r="Q128" s="127"/>
    </row>
    <row r="129" spans="2:17" s="97" customFormat="1">
      <c r="B129" s="106"/>
      <c r="C129" s="106" t="s">
        <v>564</v>
      </c>
      <c r="D129" s="106"/>
      <c r="E129" s="104"/>
      <c r="F129" s="116"/>
      <c r="G129" s="128">
        <v>918726.19000000006</v>
      </c>
      <c r="H129" s="125"/>
      <c r="I129" s="116"/>
      <c r="J129" s="128">
        <v>918726.19000000006</v>
      </c>
      <c r="L129" s="81">
        <f t="shared" si="66"/>
        <v>0</v>
      </c>
      <c r="M129" s="82">
        <f>IF(G129&lt;&gt;0,L129/G129,0)</f>
        <v>0</v>
      </c>
      <c r="N129" s="82"/>
      <c r="Q129" s="65"/>
    </row>
    <row r="130" spans="2:17" s="97" customFormat="1">
      <c r="B130" s="106"/>
      <c r="C130" s="99"/>
      <c r="D130" s="106"/>
      <c r="E130" s="108"/>
      <c r="F130" s="130"/>
      <c r="G130" s="114"/>
      <c r="H130" s="125"/>
      <c r="I130" s="112"/>
      <c r="J130" s="114"/>
      <c r="Q130" s="101"/>
    </row>
    <row r="131" spans="2:17" s="97" customFormat="1">
      <c r="B131" s="106"/>
      <c r="C131" s="106" t="s">
        <v>187</v>
      </c>
      <c r="D131" s="106"/>
      <c r="E131" s="108"/>
      <c r="F131" s="112"/>
      <c r="G131" s="131"/>
      <c r="H131" s="125"/>
      <c r="I131" s="112"/>
      <c r="J131" s="114"/>
      <c r="Q131" s="65"/>
    </row>
    <row r="132" spans="2:17" s="97" customFormat="1">
      <c r="B132" s="106"/>
      <c r="C132" s="106" t="s">
        <v>261</v>
      </c>
      <c r="D132" s="106" t="s">
        <v>230</v>
      </c>
      <c r="E132" s="104">
        <v>2925980</v>
      </c>
      <c r="F132" s="112">
        <f t="shared" ref="F132:F137" si="68">F117</f>
        <v>0.14454</v>
      </c>
      <c r="G132" s="131">
        <f t="shared" ref="G132:G137" si="69">ROUND($E132*F132,2)</f>
        <v>422921.15</v>
      </c>
      <c r="H132" s="125"/>
      <c r="I132" s="112">
        <f t="shared" ref="I132:I137" si="70">I117</f>
        <v>0.14369000000000001</v>
      </c>
      <c r="J132" s="114">
        <f t="shared" ref="J132:J137" si="71">ROUND($E132*I132,2)</f>
        <v>420434.07</v>
      </c>
      <c r="L132" s="81">
        <f t="shared" ref="L132:L137" si="72">J132-G132</f>
        <v>-2487.0800000000163</v>
      </c>
      <c r="M132" s="82">
        <f t="shared" ref="M132:M137" si="73">IF(G132&lt;&gt;0,L132/G132,0)</f>
        <v>-5.8807179541624155E-3</v>
      </c>
      <c r="N132" s="82"/>
      <c r="O132" s="85">
        <f t="shared" ref="O132:O137" si="74">I132-F132</f>
        <v>-8.4999999999998965E-4</v>
      </c>
      <c r="P132" s="132"/>
      <c r="Q132" s="112"/>
    </row>
    <row r="133" spans="2:17" s="97" customFormat="1">
      <c r="B133" s="106"/>
      <c r="C133" s="106" t="s">
        <v>262</v>
      </c>
      <c r="D133" s="106" t="s">
        <v>230</v>
      </c>
      <c r="E133" s="104">
        <v>2885234</v>
      </c>
      <c r="F133" s="112">
        <f t="shared" si="68"/>
        <v>8.7349999999999997E-2</v>
      </c>
      <c r="G133" s="131">
        <f t="shared" si="69"/>
        <v>252025.19</v>
      </c>
      <c r="H133" s="125"/>
      <c r="I133" s="112">
        <f t="shared" si="70"/>
        <v>8.6830000000000004E-2</v>
      </c>
      <c r="J133" s="114">
        <f t="shared" si="71"/>
        <v>250524.87</v>
      </c>
      <c r="L133" s="81">
        <f t="shared" si="72"/>
        <v>-1500.320000000007</v>
      </c>
      <c r="M133" s="82">
        <f t="shared" si="73"/>
        <v>-5.9530557243107603E-3</v>
      </c>
      <c r="N133" s="82"/>
      <c r="O133" s="85">
        <f t="shared" si="74"/>
        <v>-5.1999999999999269E-4</v>
      </c>
      <c r="P133" s="132"/>
      <c r="Q133" s="112"/>
    </row>
    <row r="134" spans="2:17" s="97" customFormat="1">
      <c r="B134" s="106"/>
      <c r="C134" s="106" t="s">
        <v>265</v>
      </c>
      <c r="D134" s="106" t="s">
        <v>230</v>
      </c>
      <c r="E134" s="104">
        <v>5700000</v>
      </c>
      <c r="F134" s="112">
        <f t="shared" si="68"/>
        <v>5.5579999999999997E-2</v>
      </c>
      <c r="G134" s="131">
        <f t="shared" si="69"/>
        <v>316806</v>
      </c>
      <c r="H134" s="125"/>
      <c r="I134" s="112">
        <f t="shared" si="70"/>
        <v>5.525E-2</v>
      </c>
      <c r="J134" s="114">
        <f t="shared" si="71"/>
        <v>314925</v>
      </c>
      <c r="L134" s="81">
        <f t="shared" si="72"/>
        <v>-1881</v>
      </c>
      <c r="M134" s="82">
        <f t="shared" si="73"/>
        <v>-5.93738754947823E-3</v>
      </c>
      <c r="N134" s="82"/>
      <c r="O134" s="85">
        <f t="shared" si="74"/>
        <v>-3.2999999999999696E-4</v>
      </c>
      <c r="P134" s="132"/>
      <c r="Q134" s="112"/>
    </row>
    <row r="135" spans="2:17" s="97" customFormat="1">
      <c r="B135" s="106"/>
      <c r="C135" s="106" t="s">
        <v>267</v>
      </c>
      <c r="D135" s="106" t="s">
        <v>230</v>
      </c>
      <c r="E135" s="104">
        <v>11216700</v>
      </c>
      <c r="F135" s="112">
        <f t="shared" si="68"/>
        <v>3.5639999999999998E-2</v>
      </c>
      <c r="G135" s="131">
        <f t="shared" si="69"/>
        <v>399763.19</v>
      </c>
      <c r="H135" s="125"/>
      <c r="I135" s="112">
        <f t="shared" si="70"/>
        <v>3.5430000000000003E-2</v>
      </c>
      <c r="J135" s="114">
        <f t="shared" si="71"/>
        <v>397407.68</v>
      </c>
      <c r="L135" s="81">
        <f t="shared" si="72"/>
        <v>-2355.5100000000093</v>
      </c>
      <c r="M135" s="82">
        <f t="shared" si="73"/>
        <v>-5.8922633672200018E-3</v>
      </c>
      <c r="N135" s="82"/>
      <c r="O135" s="85">
        <f t="shared" si="74"/>
        <v>-2.0999999999999491E-4</v>
      </c>
      <c r="P135" s="132"/>
      <c r="Q135" s="112"/>
    </row>
    <row r="136" spans="2:17" s="97" customFormat="1">
      <c r="B136" s="106"/>
      <c r="C136" s="106" t="s">
        <v>268</v>
      </c>
      <c r="D136" s="106" t="s">
        <v>230</v>
      </c>
      <c r="E136" s="104">
        <v>28237241</v>
      </c>
      <c r="F136" s="112">
        <f t="shared" si="68"/>
        <v>2.564E-2</v>
      </c>
      <c r="G136" s="131">
        <f t="shared" si="69"/>
        <v>724002.86</v>
      </c>
      <c r="H136" s="125"/>
      <c r="I136" s="112">
        <f t="shared" si="70"/>
        <v>2.5489999999999999E-2</v>
      </c>
      <c r="J136" s="114">
        <f t="shared" si="71"/>
        <v>719767.27</v>
      </c>
      <c r="L136" s="81">
        <f t="shared" si="72"/>
        <v>-4235.5899999999674</v>
      </c>
      <c r="M136" s="82">
        <f t="shared" si="73"/>
        <v>-5.8502393208777759E-3</v>
      </c>
      <c r="N136" s="82"/>
      <c r="O136" s="85">
        <f t="shared" si="74"/>
        <v>-1.5000000000000083E-4</v>
      </c>
      <c r="P136" s="132"/>
      <c r="Q136" s="112"/>
    </row>
    <row r="137" spans="2:17" s="97" customFormat="1">
      <c r="B137" s="106"/>
      <c r="C137" s="106" t="s">
        <v>269</v>
      </c>
      <c r="D137" s="106" t="s">
        <v>230</v>
      </c>
      <c r="E137" s="108">
        <f>E138-SUM(E132:E136)</f>
        <v>36815683</v>
      </c>
      <c r="F137" s="112">
        <f t="shared" si="68"/>
        <v>1.9769999999999999E-2</v>
      </c>
      <c r="G137" s="131">
        <f t="shared" si="69"/>
        <v>727846.05</v>
      </c>
      <c r="H137" s="125"/>
      <c r="I137" s="112">
        <f t="shared" si="70"/>
        <v>1.9650000000000001E-2</v>
      </c>
      <c r="J137" s="114">
        <f t="shared" si="71"/>
        <v>723428.17</v>
      </c>
      <c r="L137" s="81">
        <f t="shared" si="72"/>
        <v>-4417.8800000000047</v>
      </c>
      <c r="M137" s="82">
        <f t="shared" si="73"/>
        <v>-6.0698000628017484E-3</v>
      </c>
      <c r="N137" s="82"/>
      <c r="O137" s="85">
        <f t="shared" si="74"/>
        <v>-1.1999999999999858E-4</v>
      </c>
      <c r="P137" s="132"/>
      <c r="Q137" s="112"/>
    </row>
    <row r="138" spans="2:17" s="97" customFormat="1">
      <c r="C138" s="103" t="s">
        <v>562</v>
      </c>
      <c r="D138" s="106"/>
      <c r="E138" s="118">
        <v>87780838</v>
      </c>
      <c r="F138" s="112"/>
      <c r="G138" s="120"/>
      <c r="H138" s="125"/>
      <c r="I138" s="112"/>
      <c r="O138" s="132"/>
      <c r="P138" s="132"/>
    </row>
    <row r="139" spans="2:17" s="97" customFormat="1">
      <c r="C139" s="98" t="s">
        <v>432</v>
      </c>
      <c r="D139" s="106"/>
      <c r="E139" s="108"/>
      <c r="F139" s="112"/>
      <c r="G139" s="133">
        <f>SUM(G127:G137)</f>
        <v>4254378.6099999994</v>
      </c>
      <c r="H139" s="125"/>
      <c r="I139" s="112"/>
      <c r="J139" s="133">
        <f>SUM(J127:J137)</f>
        <v>4233525.8900000006</v>
      </c>
      <c r="L139" s="81">
        <f t="shared" ref="L139" si="75">J139-G139</f>
        <v>-20852.719999998808</v>
      </c>
      <c r="M139" s="82">
        <f>IF(G139&lt;&gt;0,L139/G139,0)</f>
        <v>-4.9014725560588531E-3</v>
      </c>
      <c r="N139" s="82"/>
      <c r="O139" s="132"/>
      <c r="P139" s="132"/>
    </row>
    <row r="140" spans="2:17" s="97" customFormat="1">
      <c r="B140" s="106"/>
      <c r="C140" s="106"/>
      <c r="D140" s="98"/>
      <c r="E140" s="108"/>
      <c r="F140" s="116"/>
      <c r="G140" s="114"/>
      <c r="H140" s="125"/>
      <c r="I140" s="116"/>
      <c r="J140" s="114"/>
    </row>
    <row r="141" spans="2:17">
      <c r="B141" s="96" t="s">
        <v>404</v>
      </c>
      <c r="E141" s="135"/>
      <c r="I141" s="99"/>
      <c r="J141" s="134"/>
    </row>
    <row r="142" spans="2:17">
      <c r="B142" s="120" t="s">
        <v>406</v>
      </c>
      <c r="C142" s="120" t="s">
        <v>405</v>
      </c>
      <c r="D142" s="56"/>
      <c r="E142" s="136">
        <v>16696</v>
      </c>
      <c r="F142" s="137">
        <v>7.49</v>
      </c>
      <c r="G142" s="114">
        <f t="shared" ref="G142:G147" si="76">ROUND($E142*F142,2)</f>
        <v>125053.04</v>
      </c>
      <c r="I142" s="138">
        <f>ROUND(F142*(1+$Q$147),2)</f>
        <v>7.46</v>
      </c>
      <c r="J142" s="114">
        <f t="shared" ref="J142:J147" si="77">ROUND($E142*I142,2)</f>
        <v>124552.16</v>
      </c>
      <c r="L142" s="81">
        <f t="shared" ref="L142:L147" si="78">J142-G142</f>
        <v>-500.8799999999901</v>
      </c>
      <c r="M142" s="82">
        <f t="shared" ref="M142:M148" si="79">IF(G142&lt;&gt;0,L142/G142,0)</f>
        <v>-4.0053404539385062E-3</v>
      </c>
      <c r="N142" s="82"/>
      <c r="O142" s="83">
        <f t="shared" ref="O142:O147" si="80">I142-F142</f>
        <v>-3.0000000000000249E-2</v>
      </c>
      <c r="Q142" s="84" t="s">
        <v>563</v>
      </c>
    </row>
    <row r="143" spans="2:17">
      <c r="B143" s="120" t="s">
        <v>408</v>
      </c>
      <c r="C143" s="120" t="s">
        <v>407</v>
      </c>
      <c r="E143" s="136">
        <v>265595</v>
      </c>
      <c r="F143" s="137">
        <v>12.29</v>
      </c>
      <c r="G143" s="114">
        <f t="shared" si="76"/>
        <v>3264162.55</v>
      </c>
      <c r="I143" s="138">
        <f t="shared" ref="I143:I147" si="81">ROUND(F143*(1+$Q$147),2)</f>
        <v>12.23</v>
      </c>
      <c r="J143" s="114">
        <f t="shared" si="77"/>
        <v>3248226.85</v>
      </c>
      <c r="L143" s="81">
        <f t="shared" si="78"/>
        <v>-15935.699999999721</v>
      </c>
      <c r="M143" s="82">
        <f t="shared" si="79"/>
        <v>-4.8820179007322178E-3</v>
      </c>
      <c r="N143" s="82"/>
      <c r="O143" s="83">
        <f t="shared" si="80"/>
        <v>-5.9999999999998721E-2</v>
      </c>
      <c r="Q143" s="86">
        <v>-34927.628415431165</v>
      </c>
    </row>
    <row r="144" spans="2:17">
      <c r="B144" s="120" t="s">
        <v>410</v>
      </c>
      <c r="C144" s="120" t="s">
        <v>409</v>
      </c>
      <c r="E144" s="136">
        <v>48629</v>
      </c>
      <c r="F144" s="137">
        <v>17.43</v>
      </c>
      <c r="G144" s="114">
        <f t="shared" si="76"/>
        <v>847603.47</v>
      </c>
      <c r="I144" s="138">
        <f t="shared" si="81"/>
        <v>17.350000000000001</v>
      </c>
      <c r="J144" s="114">
        <f t="shared" si="77"/>
        <v>843713.15</v>
      </c>
      <c r="L144" s="81">
        <f t="shared" si="78"/>
        <v>-3890.3199999999488</v>
      </c>
      <c r="M144" s="82">
        <f t="shared" si="79"/>
        <v>-4.5897877223177825E-3</v>
      </c>
      <c r="N144" s="82"/>
      <c r="O144" s="83">
        <f t="shared" si="80"/>
        <v>-7.9999999999998295E-2</v>
      </c>
      <c r="Q144" s="87" t="s">
        <v>553</v>
      </c>
    </row>
    <row r="145" spans="2:17">
      <c r="B145" s="120" t="s">
        <v>412</v>
      </c>
      <c r="C145" s="120" t="s">
        <v>411</v>
      </c>
      <c r="E145" s="136">
        <v>12371</v>
      </c>
      <c r="F145" s="137">
        <v>17.059999999999999</v>
      </c>
      <c r="G145" s="114">
        <f t="shared" si="76"/>
        <v>211049.26</v>
      </c>
      <c r="I145" s="138">
        <f t="shared" si="81"/>
        <v>16.98</v>
      </c>
      <c r="J145" s="114">
        <f t="shared" si="77"/>
        <v>210059.58</v>
      </c>
      <c r="L145" s="81">
        <f t="shared" si="78"/>
        <v>-989.68000000002212</v>
      </c>
      <c r="M145" s="82">
        <f t="shared" si="79"/>
        <v>-4.6893317702228479E-3</v>
      </c>
      <c r="N145" s="82"/>
      <c r="O145" s="83">
        <f t="shared" si="80"/>
        <v>-7.9999999999998295E-2</v>
      </c>
      <c r="Q145" s="89">
        <f>L148+L158+L165-Q143</f>
        <v>-46.66158456854464</v>
      </c>
    </row>
    <row r="146" spans="2:17">
      <c r="B146" s="120" t="s">
        <v>414</v>
      </c>
      <c r="C146" s="120" t="s">
        <v>413</v>
      </c>
      <c r="E146" s="136">
        <v>52953</v>
      </c>
      <c r="F146" s="137">
        <v>5.93</v>
      </c>
      <c r="G146" s="114">
        <f t="shared" si="76"/>
        <v>314011.28999999998</v>
      </c>
      <c r="I146" s="138">
        <f t="shared" si="81"/>
        <v>5.9</v>
      </c>
      <c r="J146" s="114">
        <f t="shared" si="77"/>
        <v>312422.7</v>
      </c>
      <c r="L146" s="81">
        <f t="shared" si="78"/>
        <v>-1588.5899999999674</v>
      </c>
      <c r="M146" s="82">
        <f t="shared" si="79"/>
        <v>-5.059021922428227E-3</v>
      </c>
      <c r="N146" s="82"/>
      <c r="O146" s="83">
        <f t="shared" si="80"/>
        <v>-2.9999999999999361E-2</v>
      </c>
      <c r="Q146" s="87" t="s">
        <v>554</v>
      </c>
    </row>
    <row r="147" spans="2:17">
      <c r="B147" s="120" t="s">
        <v>416</v>
      </c>
      <c r="C147" s="120" t="s">
        <v>415</v>
      </c>
      <c r="E147" s="136">
        <v>2910</v>
      </c>
      <c r="F147" s="137">
        <v>10.74</v>
      </c>
      <c r="G147" s="114">
        <f t="shared" si="76"/>
        <v>31253.4</v>
      </c>
      <c r="I147" s="138">
        <f t="shared" si="81"/>
        <v>10.69</v>
      </c>
      <c r="J147" s="114">
        <f t="shared" si="77"/>
        <v>31107.9</v>
      </c>
      <c r="L147" s="81">
        <f t="shared" si="78"/>
        <v>-145.5</v>
      </c>
      <c r="M147" s="82">
        <f t="shared" si="79"/>
        <v>-4.6554934823091242E-3</v>
      </c>
      <c r="N147" s="82"/>
      <c r="O147" s="83">
        <f t="shared" si="80"/>
        <v>-5.0000000000000711E-2</v>
      </c>
      <c r="Q147" s="91">
        <v>-4.6100000000000004E-3</v>
      </c>
    </row>
    <row r="148" spans="2:17">
      <c r="C148" s="98" t="s">
        <v>432</v>
      </c>
      <c r="E148" s="136"/>
      <c r="F148" s="137"/>
      <c r="G148" s="119">
        <f>SUM(G142:G147)</f>
        <v>4793133.01</v>
      </c>
      <c r="I148" s="138"/>
      <c r="J148" s="119">
        <f>SUM(J142:J147)</f>
        <v>4770082.3400000008</v>
      </c>
      <c r="L148" s="119">
        <f>SUM(L142:L147)</f>
        <v>-23050.669999999649</v>
      </c>
      <c r="M148" s="82">
        <f t="shared" si="79"/>
        <v>-4.8091029295261826E-3</v>
      </c>
      <c r="N148" s="82"/>
    </row>
    <row r="149" spans="2:17">
      <c r="C149" s="120"/>
      <c r="E149" s="135"/>
      <c r="F149" s="137"/>
      <c r="G149" s="114"/>
      <c r="I149" s="138"/>
      <c r="J149" s="114"/>
    </row>
    <row r="150" spans="2:17">
      <c r="B150" s="96" t="s">
        <v>417</v>
      </c>
      <c r="C150" s="120"/>
      <c r="E150" s="135"/>
      <c r="F150" s="137"/>
      <c r="G150" s="114"/>
      <c r="I150" s="138"/>
      <c r="J150" s="114"/>
    </row>
    <row r="151" spans="2:17">
      <c r="B151" s="120" t="s">
        <v>419</v>
      </c>
      <c r="C151" s="120" t="s">
        <v>418</v>
      </c>
      <c r="E151" s="136">
        <v>2044</v>
      </c>
      <c r="F151" s="137">
        <v>15.14</v>
      </c>
      <c r="G151" s="114">
        <f t="shared" ref="G151:G157" si="82">ROUND($E151*F151,2)</f>
        <v>30946.16</v>
      </c>
      <c r="I151" s="138">
        <f t="shared" ref="I151:I157" si="83">ROUND(F151*(1+$Q$147),2)</f>
        <v>15.07</v>
      </c>
      <c r="J151" s="114">
        <f t="shared" ref="J151:J157" si="84">ROUND($E151*I151,2)</f>
        <v>30803.08</v>
      </c>
      <c r="L151" s="81">
        <f t="shared" ref="L151:L157" si="85">J151-G151</f>
        <v>-143.07999999999811</v>
      </c>
      <c r="M151" s="82">
        <f t="shared" ref="M151:M158" si="86">IF(G151&lt;&gt;0,L151/G151,0)</f>
        <v>-4.6235138705415504E-3</v>
      </c>
      <c r="N151" s="82"/>
      <c r="O151" s="83">
        <f t="shared" ref="O151:O157" si="87">I151-F151</f>
        <v>-7.0000000000000284E-2</v>
      </c>
    </row>
    <row r="152" spans="2:17">
      <c r="B152" s="120" t="s">
        <v>421</v>
      </c>
      <c r="C152" s="120" t="s">
        <v>420</v>
      </c>
      <c r="E152" s="136">
        <v>1333</v>
      </c>
      <c r="F152" s="137">
        <v>19.920000000000002</v>
      </c>
      <c r="G152" s="114">
        <f t="shared" si="82"/>
        <v>26553.360000000001</v>
      </c>
      <c r="I152" s="138">
        <f t="shared" si="83"/>
        <v>19.829999999999998</v>
      </c>
      <c r="J152" s="114">
        <f t="shared" si="84"/>
        <v>26433.39</v>
      </c>
      <c r="L152" s="81">
        <f t="shared" si="85"/>
        <v>-119.97000000000116</v>
      </c>
      <c r="M152" s="82">
        <f t="shared" si="86"/>
        <v>-4.5180722891566705E-3</v>
      </c>
      <c r="N152" s="82"/>
      <c r="O152" s="83">
        <f t="shared" si="87"/>
        <v>-9.0000000000003411E-2</v>
      </c>
    </row>
    <row r="153" spans="2:17">
      <c r="B153" s="120" t="s">
        <v>423</v>
      </c>
      <c r="C153" s="120" t="s">
        <v>422</v>
      </c>
      <c r="E153" s="136">
        <v>3916</v>
      </c>
      <c r="F153" s="137">
        <v>19.920000000000002</v>
      </c>
      <c r="G153" s="114">
        <f t="shared" si="82"/>
        <v>78006.720000000001</v>
      </c>
      <c r="I153" s="138">
        <f t="shared" si="83"/>
        <v>19.829999999999998</v>
      </c>
      <c r="J153" s="114">
        <f t="shared" si="84"/>
        <v>77654.28</v>
      </c>
      <c r="L153" s="81">
        <f t="shared" si="85"/>
        <v>-352.44000000000233</v>
      </c>
      <c r="M153" s="82">
        <f t="shared" si="86"/>
        <v>-4.5180722891566567E-3</v>
      </c>
      <c r="N153" s="82"/>
      <c r="O153" s="83">
        <f t="shared" si="87"/>
        <v>-9.0000000000003411E-2</v>
      </c>
    </row>
    <row r="154" spans="2:17">
      <c r="B154" s="120" t="s">
        <v>425</v>
      </c>
      <c r="C154" s="120" t="s">
        <v>424</v>
      </c>
      <c r="E154" s="136">
        <v>202</v>
      </c>
      <c r="F154" s="137">
        <v>31.46</v>
      </c>
      <c r="G154" s="114">
        <f t="shared" si="82"/>
        <v>6354.92</v>
      </c>
      <c r="I154" s="138">
        <f t="shared" si="83"/>
        <v>31.31</v>
      </c>
      <c r="J154" s="114">
        <f t="shared" si="84"/>
        <v>6324.62</v>
      </c>
      <c r="L154" s="81">
        <f t="shared" si="85"/>
        <v>-30.300000000000182</v>
      </c>
      <c r="M154" s="82">
        <f t="shared" si="86"/>
        <v>-4.7679593134138873E-3</v>
      </c>
      <c r="N154" s="82"/>
      <c r="O154" s="83">
        <f t="shared" si="87"/>
        <v>-0.15000000000000213</v>
      </c>
    </row>
    <row r="155" spans="2:17">
      <c r="B155" s="120" t="s">
        <v>427</v>
      </c>
      <c r="C155" s="120" t="s">
        <v>426</v>
      </c>
      <c r="E155" s="136">
        <v>8764</v>
      </c>
      <c r="F155" s="137">
        <v>41.18</v>
      </c>
      <c r="G155" s="114">
        <f t="shared" si="82"/>
        <v>360901.52</v>
      </c>
      <c r="I155" s="138">
        <f t="shared" si="83"/>
        <v>40.99</v>
      </c>
      <c r="J155" s="114">
        <f t="shared" si="84"/>
        <v>359236.36</v>
      </c>
      <c r="L155" s="81">
        <f t="shared" si="85"/>
        <v>-1665.1600000000326</v>
      </c>
      <c r="M155" s="82">
        <f t="shared" si="86"/>
        <v>-4.6138902379796922E-3</v>
      </c>
      <c r="N155" s="82"/>
      <c r="O155" s="83">
        <f t="shared" si="87"/>
        <v>-0.18999999999999773</v>
      </c>
    </row>
    <row r="156" spans="2:17">
      <c r="B156" s="120" t="s">
        <v>429</v>
      </c>
      <c r="C156" s="120" t="s">
        <v>428</v>
      </c>
      <c r="E156" s="136">
        <v>5652</v>
      </c>
      <c r="F156" s="137">
        <v>55.14</v>
      </c>
      <c r="G156" s="114">
        <f t="shared" si="82"/>
        <v>311651.28000000003</v>
      </c>
      <c r="I156" s="138">
        <f t="shared" si="83"/>
        <v>54.89</v>
      </c>
      <c r="J156" s="114">
        <f t="shared" si="84"/>
        <v>310238.28000000003</v>
      </c>
      <c r="L156" s="81">
        <f t="shared" si="85"/>
        <v>-1413</v>
      </c>
      <c r="M156" s="82">
        <f t="shared" si="86"/>
        <v>-4.5339136742836416E-3</v>
      </c>
      <c r="N156" s="82"/>
      <c r="O156" s="83">
        <f t="shared" si="87"/>
        <v>-0.25</v>
      </c>
    </row>
    <row r="157" spans="2:17">
      <c r="B157" s="120" t="s">
        <v>431</v>
      </c>
      <c r="C157" s="120" t="s">
        <v>430</v>
      </c>
      <c r="E157" s="136">
        <v>15906</v>
      </c>
      <c r="F157" s="137">
        <v>64.13</v>
      </c>
      <c r="G157" s="114">
        <f t="shared" si="82"/>
        <v>1020051.78</v>
      </c>
      <c r="I157" s="138">
        <f t="shared" si="83"/>
        <v>63.83</v>
      </c>
      <c r="J157" s="114">
        <f t="shared" si="84"/>
        <v>1015279.98</v>
      </c>
      <c r="L157" s="81">
        <f t="shared" si="85"/>
        <v>-4771.8000000000466</v>
      </c>
      <c r="M157" s="82">
        <f t="shared" si="86"/>
        <v>-4.6779978169343974E-3</v>
      </c>
      <c r="N157" s="82"/>
      <c r="O157" s="83">
        <f t="shared" si="87"/>
        <v>-0.29999999999999716</v>
      </c>
    </row>
    <row r="158" spans="2:17">
      <c r="C158" s="98" t="s">
        <v>432</v>
      </c>
      <c r="E158" s="135"/>
      <c r="F158" s="137"/>
      <c r="G158" s="119">
        <f>SUM(G151:G157)</f>
        <v>1834465.7400000002</v>
      </c>
      <c r="I158" s="138"/>
      <c r="J158" s="119">
        <f>SUM(J151:J157)</f>
        <v>1825969.99</v>
      </c>
      <c r="L158" s="119">
        <f>SUM(L151:L157)</f>
        <v>-8495.75000000008</v>
      </c>
      <c r="M158" s="82">
        <f t="shared" si="86"/>
        <v>-4.6311848811088066E-3</v>
      </c>
      <c r="N158" s="82"/>
    </row>
    <row r="159" spans="2:17">
      <c r="B159" s="98"/>
      <c r="E159" s="135"/>
      <c r="F159" s="137"/>
      <c r="G159" s="114"/>
      <c r="I159" s="138"/>
      <c r="J159" s="114"/>
    </row>
    <row r="160" spans="2:17">
      <c r="B160" s="96" t="s">
        <v>433</v>
      </c>
      <c r="E160" s="135"/>
      <c r="F160" s="137"/>
      <c r="G160" s="114"/>
      <c r="I160" s="138"/>
      <c r="J160" s="114"/>
    </row>
    <row r="161" spans="2:15">
      <c r="B161" s="120" t="s">
        <v>435</v>
      </c>
      <c r="C161" s="120" t="s">
        <v>434</v>
      </c>
      <c r="E161" s="136">
        <v>18367</v>
      </c>
      <c r="F161" s="137">
        <v>10.33</v>
      </c>
      <c r="G161" s="114">
        <f t="shared" ref="G161:G164" si="88">ROUND($E161*F161,2)</f>
        <v>189731.11</v>
      </c>
      <c r="I161" s="138">
        <f t="shared" ref="I161:I164" si="89">ROUND(F161*(1+$Q$147),2)</f>
        <v>10.28</v>
      </c>
      <c r="J161" s="114">
        <f t="shared" ref="J161:J164" si="90">ROUND($E161*I161,2)</f>
        <v>188812.76</v>
      </c>
      <c r="L161" s="81">
        <f t="shared" ref="L161:L164" si="91">J161-G161</f>
        <v>-918.34999999997672</v>
      </c>
      <c r="M161" s="82">
        <f t="shared" ref="M161:M165" si="92">IF(G161&lt;&gt;0,L161/G161,0)</f>
        <v>-4.8402710551789675E-3</v>
      </c>
      <c r="N161" s="82"/>
      <c r="O161" s="83">
        <f t="shared" ref="O161:O164" si="93">I161-F161</f>
        <v>-5.0000000000000711E-2</v>
      </c>
    </row>
    <row r="162" spans="2:15">
      <c r="B162" s="120" t="s">
        <v>437</v>
      </c>
      <c r="C162" s="120" t="s">
        <v>436</v>
      </c>
      <c r="E162" s="136">
        <v>1146</v>
      </c>
      <c r="F162" s="137">
        <v>28.17</v>
      </c>
      <c r="G162" s="114">
        <f t="shared" si="88"/>
        <v>32282.82</v>
      </c>
      <c r="I162" s="138">
        <f t="shared" si="89"/>
        <v>28.04</v>
      </c>
      <c r="J162" s="114">
        <f t="shared" si="90"/>
        <v>32133.84</v>
      </c>
      <c r="L162" s="81">
        <f t="shared" si="91"/>
        <v>-148.97999999999956</v>
      </c>
      <c r="M162" s="82">
        <f t="shared" si="92"/>
        <v>-4.6148384806531636E-3</v>
      </c>
      <c r="N162" s="82"/>
      <c r="O162" s="83">
        <f t="shared" si="93"/>
        <v>-0.13000000000000256</v>
      </c>
    </row>
    <row r="163" spans="2:15">
      <c r="B163" s="120" t="s">
        <v>439</v>
      </c>
      <c r="C163" s="120" t="s">
        <v>438</v>
      </c>
      <c r="E163" s="136">
        <v>637</v>
      </c>
      <c r="F163" s="137">
        <v>38.200000000000003</v>
      </c>
      <c r="G163" s="114">
        <f t="shared" si="88"/>
        <v>24333.4</v>
      </c>
      <c r="I163" s="138">
        <f t="shared" si="89"/>
        <v>38.020000000000003</v>
      </c>
      <c r="J163" s="114">
        <f t="shared" si="90"/>
        <v>24218.74</v>
      </c>
      <c r="L163" s="81">
        <f t="shared" si="91"/>
        <v>-114.65999999999985</v>
      </c>
      <c r="M163" s="82">
        <f t="shared" si="92"/>
        <v>-4.7120418848167478E-3</v>
      </c>
      <c r="N163" s="82"/>
      <c r="O163" s="83">
        <f t="shared" si="93"/>
        <v>-0.17999999999999972</v>
      </c>
    </row>
    <row r="164" spans="2:15">
      <c r="B164" s="120" t="s">
        <v>441</v>
      </c>
      <c r="C164" s="120" t="s">
        <v>440</v>
      </c>
      <c r="E164" s="136">
        <v>32084</v>
      </c>
      <c r="F164" s="137">
        <v>15.77</v>
      </c>
      <c r="G164" s="114">
        <f t="shared" si="88"/>
        <v>505964.68</v>
      </c>
      <c r="I164" s="138">
        <f t="shared" si="89"/>
        <v>15.7</v>
      </c>
      <c r="J164" s="114">
        <f t="shared" si="90"/>
        <v>503718.8</v>
      </c>
      <c r="L164" s="81">
        <f t="shared" si="91"/>
        <v>-2245.8800000000047</v>
      </c>
      <c r="M164" s="82">
        <f t="shared" si="92"/>
        <v>-4.438807863031081E-3</v>
      </c>
      <c r="N164" s="82"/>
      <c r="O164" s="83">
        <f t="shared" si="93"/>
        <v>-7.0000000000000284E-2</v>
      </c>
    </row>
    <row r="165" spans="2:15">
      <c r="C165" s="98" t="s">
        <v>432</v>
      </c>
      <c r="E165" s="135"/>
      <c r="G165" s="139">
        <f>SUM(G161:G164)</f>
        <v>752312.01</v>
      </c>
      <c r="I165" s="99"/>
      <c r="J165" s="139">
        <f>SUM(J161:J164)</f>
        <v>748884.14</v>
      </c>
      <c r="L165" s="139">
        <f>SUM(L161:L164)</f>
        <v>-3427.8699999999808</v>
      </c>
      <c r="M165" s="82">
        <f t="shared" si="92"/>
        <v>-4.5564472644800402E-3</v>
      </c>
      <c r="N165" s="82"/>
    </row>
    <row r="166" spans="2:15">
      <c r="E166" s="135"/>
      <c r="I166" s="106"/>
      <c r="J166" s="134"/>
    </row>
    <row r="167" spans="2:15">
      <c r="B167" s="140" t="s">
        <v>566</v>
      </c>
      <c r="D167" s="106" t="s">
        <v>230</v>
      </c>
      <c r="E167" s="141">
        <v>37893405</v>
      </c>
      <c r="G167" s="142">
        <v>1400667.8955521921</v>
      </c>
      <c r="H167" s="143"/>
      <c r="I167" s="106"/>
      <c r="J167" s="142">
        <v>1391683</v>
      </c>
      <c r="L167" s="81">
        <f t="shared" ref="L167" si="94">J167-G167</f>
        <v>-8984.8955521921162</v>
      </c>
      <c r="M167" s="82">
        <f>IF(G167&lt;&gt;0,L167/G167,0)</f>
        <v>-6.4147222769391438E-3</v>
      </c>
      <c r="N167" s="82"/>
    </row>
    <row r="168" spans="2:15">
      <c r="I168" s="106"/>
      <c r="J168" s="134"/>
    </row>
    <row r="169" spans="2:15">
      <c r="B169" s="140" t="s">
        <v>567</v>
      </c>
      <c r="E169" s="144"/>
      <c r="I169" s="106"/>
      <c r="J169" s="134"/>
    </row>
    <row r="170" spans="2:15">
      <c r="B170" s="145" t="s">
        <v>568</v>
      </c>
      <c r="C170" s="56"/>
      <c r="E170" s="144">
        <f>E10+E15+E19*19</f>
        <v>559699855</v>
      </c>
      <c r="G170" s="146">
        <f>SUM(G11,G16,G19)</f>
        <v>292823275.31999999</v>
      </c>
      <c r="I170" s="106"/>
      <c r="J170" s="146">
        <f>SUM(J11,J16,J19)</f>
        <v>291437861.48000002</v>
      </c>
      <c r="L170" s="81">
        <f t="shared" ref="L170:L179" si="95">J170-G170</f>
        <v>-1385413.8399999738</v>
      </c>
      <c r="M170" s="82">
        <f t="shared" ref="M170:M179" si="96">IF(G170&lt;&gt;0,L170/G170,0)</f>
        <v>-4.7312285489805438E-3</v>
      </c>
      <c r="N170" s="82"/>
    </row>
    <row r="171" spans="2:15">
      <c r="B171" s="147" t="s">
        <v>569</v>
      </c>
      <c r="C171" s="56"/>
      <c r="E171" s="144">
        <f>E24+E29</f>
        <v>202815693</v>
      </c>
      <c r="G171" s="146">
        <f>SUM(G25,G31,G35)</f>
        <v>84310016.560000002</v>
      </c>
      <c r="I171" s="106"/>
      <c r="J171" s="146">
        <f>SUM(J25,J31,J35)</f>
        <v>83910224.520000011</v>
      </c>
      <c r="L171" s="81">
        <f t="shared" si="95"/>
        <v>-399792.03999999166</v>
      </c>
      <c r="M171" s="82">
        <f t="shared" si="96"/>
        <v>-4.7419281398844932E-3</v>
      </c>
      <c r="N171" s="82"/>
    </row>
    <row r="172" spans="2:15">
      <c r="B172" s="148" t="s">
        <v>570</v>
      </c>
      <c r="C172" s="56"/>
      <c r="E172" s="144">
        <f>E46+E58</f>
        <v>88863510</v>
      </c>
      <c r="G172" s="146">
        <f>SUM(G47,G60)</f>
        <v>20216318.629999999</v>
      </c>
      <c r="I172" s="106"/>
      <c r="J172" s="146">
        <f>SUM(J47,J60)</f>
        <v>20120695.890000001</v>
      </c>
      <c r="L172" s="81">
        <f t="shared" si="95"/>
        <v>-95622.739999998361</v>
      </c>
      <c r="M172" s="82">
        <f t="shared" si="96"/>
        <v>-4.729977883218512E-3</v>
      </c>
      <c r="N172" s="82"/>
    </row>
    <row r="173" spans="2:15">
      <c r="B173" s="145" t="s">
        <v>571</v>
      </c>
      <c r="C173" s="56"/>
      <c r="E173" s="144">
        <f>E72+E84</f>
        <v>93911888</v>
      </c>
      <c r="G173" s="146">
        <f>SUM(G73,G85)</f>
        <v>9058333.7400000002</v>
      </c>
      <c r="I173" s="106"/>
      <c r="J173" s="146">
        <f>SUM(J73,J85)</f>
        <v>9015517.6699999999</v>
      </c>
      <c r="L173" s="81">
        <f t="shared" si="95"/>
        <v>-42816.070000000298</v>
      </c>
      <c r="M173" s="82">
        <f t="shared" si="96"/>
        <v>-4.7267048475959882E-3</v>
      </c>
      <c r="N173" s="82"/>
    </row>
    <row r="174" spans="2:15">
      <c r="B174" s="148" t="s">
        <v>572</v>
      </c>
      <c r="C174" s="56"/>
      <c r="E174" s="144">
        <f>E96+E107</f>
        <v>12344422</v>
      </c>
      <c r="G174" s="146">
        <f>SUM(G97,G108)</f>
        <v>2708675.28</v>
      </c>
      <c r="I174" s="106"/>
      <c r="J174" s="146">
        <f>SUM(J97,J108)</f>
        <v>2695891.7099999995</v>
      </c>
      <c r="L174" s="81">
        <f t="shared" si="95"/>
        <v>-12783.570000000298</v>
      </c>
      <c r="M174" s="82">
        <f t="shared" si="96"/>
        <v>-4.7194915146862122E-3</v>
      </c>
      <c r="N174" s="82"/>
    </row>
    <row r="175" spans="2:15">
      <c r="B175" s="148" t="s">
        <v>573</v>
      </c>
      <c r="C175" s="56"/>
      <c r="E175" s="144">
        <f>E123+E138</f>
        <v>114348072</v>
      </c>
      <c r="G175" s="146">
        <f>SUM(G124,G139)</f>
        <v>6078660.3399999999</v>
      </c>
      <c r="I175" s="106"/>
      <c r="J175" s="146">
        <f>SUM(J124,J139)</f>
        <v>6049750.0500000007</v>
      </c>
      <c r="L175" s="81">
        <f t="shared" si="95"/>
        <v>-28910.289999999106</v>
      </c>
      <c r="M175" s="82">
        <f t="shared" si="96"/>
        <v>-4.7560298458786902E-3</v>
      </c>
      <c r="N175" s="82"/>
    </row>
    <row r="176" spans="2:15">
      <c r="B176" s="145" t="s">
        <v>395</v>
      </c>
      <c r="C176" s="56"/>
      <c r="E176" s="144"/>
      <c r="G176" s="146">
        <f>SUM(G148,G158,G165)</f>
        <v>7379910.7599999998</v>
      </c>
      <c r="I176" s="106"/>
      <c r="J176" s="146">
        <f>SUM(J148,J158,J165)</f>
        <v>7344936.4700000007</v>
      </c>
      <c r="L176" s="81">
        <f t="shared" si="95"/>
        <v>-34974.289999999106</v>
      </c>
      <c r="M176" s="82">
        <f t="shared" si="96"/>
        <v>-4.7391209917556111E-3</v>
      </c>
      <c r="N176" s="82"/>
    </row>
    <row r="177" spans="2:14">
      <c r="B177" s="148" t="s">
        <v>566</v>
      </c>
      <c r="C177" s="56"/>
      <c r="E177" s="144">
        <f>E167</f>
        <v>37893405</v>
      </c>
      <c r="G177" s="101">
        <f>G167</f>
        <v>1400667.8955521921</v>
      </c>
      <c r="I177" s="106"/>
      <c r="J177" s="101">
        <f>J167</f>
        <v>1391683</v>
      </c>
      <c r="L177" s="81">
        <f t="shared" si="95"/>
        <v>-8984.8955521921162</v>
      </c>
      <c r="M177" s="82">
        <f t="shared" si="96"/>
        <v>-6.4147222769391438E-3</v>
      </c>
      <c r="N177" s="82"/>
    </row>
    <row r="178" spans="2:14">
      <c r="B178" s="145" t="s">
        <v>574</v>
      </c>
      <c r="C178" s="56"/>
      <c r="E178" s="144"/>
      <c r="G178" s="142">
        <v>6382113</v>
      </c>
      <c r="I178" s="106"/>
      <c r="J178" s="101">
        <f>G178</f>
        <v>6382113</v>
      </c>
      <c r="L178" s="81">
        <f t="shared" si="95"/>
        <v>0</v>
      </c>
      <c r="M178" s="82">
        <f t="shared" si="96"/>
        <v>0</v>
      </c>
      <c r="N178" s="82"/>
    </row>
    <row r="179" spans="2:14">
      <c r="B179" s="149" t="s">
        <v>575</v>
      </c>
      <c r="C179" s="149"/>
      <c r="D179" s="149"/>
      <c r="E179" s="150">
        <f>SUM(E170:E178)</f>
        <v>1109876845</v>
      </c>
      <c r="F179" s="149"/>
      <c r="G179" s="139">
        <f>SUM(G170:G178)</f>
        <v>430357971.52555215</v>
      </c>
      <c r="I179" s="151"/>
      <c r="J179" s="139">
        <f>SUM(J170:J178)</f>
        <v>428348673.79000002</v>
      </c>
      <c r="L179" s="81">
        <f t="shared" si="95"/>
        <v>-2009297.7355521321</v>
      </c>
      <c r="M179" s="82">
        <f t="shared" si="96"/>
        <v>-4.6688986111480257E-3</v>
      </c>
      <c r="N179" s="82"/>
    </row>
    <row r="180" spans="2:14">
      <c r="B180" s="98"/>
      <c r="I180" s="106"/>
      <c r="J180" s="146"/>
    </row>
    <row r="181" spans="2:14">
      <c r="B181" s="152" t="s">
        <v>576</v>
      </c>
      <c r="I181" s="106"/>
      <c r="J181" s="134"/>
    </row>
    <row r="182" spans="2:14">
      <c r="B182" s="134" t="s">
        <v>577</v>
      </c>
      <c r="G182" s="146"/>
      <c r="I182" s="106"/>
      <c r="J182" s="146"/>
      <c r="K182" s="134"/>
    </row>
    <row r="183" spans="2:14">
      <c r="B183" s="134"/>
      <c r="C183" s="153" t="s">
        <v>578</v>
      </c>
      <c r="D183" s="134">
        <v>23</v>
      </c>
      <c r="E183" s="144">
        <f>E9</f>
        <v>8566289</v>
      </c>
      <c r="I183" s="106"/>
      <c r="J183" s="134"/>
      <c r="K183" s="134"/>
    </row>
    <row r="184" spans="2:14">
      <c r="B184" s="134"/>
      <c r="C184" s="153" t="s">
        <v>579</v>
      </c>
      <c r="D184" s="134">
        <v>53</v>
      </c>
      <c r="E184" s="144">
        <f>E14</f>
        <v>35</v>
      </c>
      <c r="I184" s="106"/>
      <c r="J184" s="134"/>
      <c r="K184" s="134"/>
    </row>
    <row r="185" spans="2:14">
      <c r="B185" s="134"/>
      <c r="C185" s="153" t="s">
        <v>296</v>
      </c>
      <c r="D185" s="134">
        <v>31</v>
      </c>
      <c r="E185" s="144">
        <f>E23</f>
        <v>660683</v>
      </c>
      <c r="I185" s="106"/>
      <c r="J185" s="134"/>
      <c r="K185" s="134"/>
    </row>
    <row r="186" spans="2:14">
      <c r="B186" s="134"/>
      <c r="C186" s="153" t="s">
        <v>300</v>
      </c>
      <c r="D186" s="134">
        <v>41</v>
      </c>
      <c r="E186" s="144">
        <f>E38</f>
        <v>23543</v>
      </c>
      <c r="I186" s="106"/>
      <c r="J186" s="134"/>
      <c r="K186" s="134"/>
    </row>
    <row r="187" spans="2:14">
      <c r="B187" s="134"/>
      <c r="C187" s="153" t="s">
        <v>580</v>
      </c>
      <c r="D187" s="134">
        <v>85</v>
      </c>
      <c r="E187" s="144">
        <f>E63</f>
        <v>397</v>
      </c>
      <c r="I187" s="106"/>
      <c r="J187" s="134"/>
      <c r="K187" s="134"/>
    </row>
    <row r="188" spans="2:14">
      <c r="B188" s="134"/>
      <c r="C188" s="153" t="s">
        <v>581</v>
      </c>
      <c r="D188" s="134">
        <v>86</v>
      </c>
      <c r="E188" s="144">
        <f>E88</f>
        <v>3664</v>
      </c>
      <c r="I188" s="106"/>
      <c r="J188" s="134"/>
      <c r="K188" s="134"/>
    </row>
    <row r="189" spans="2:14">
      <c r="B189" s="134"/>
      <c r="C189" s="153" t="s">
        <v>582</v>
      </c>
      <c r="D189" s="134">
        <v>87</v>
      </c>
      <c r="E189" s="144">
        <f>E111</f>
        <v>84</v>
      </c>
      <c r="I189" s="106"/>
      <c r="J189" s="134"/>
      <c r="K189" s="134"/>
    </row>
    <row r="190" spans="2:14">
      <c r="B190" s="134"/>
      <c r="C190" s="134" t="s">
        <v>583</v>
      </c>
      <c r="D190" s="154" t="s">
        <v>242</v>
      </c>
      <c r="E190" s="144">
        <f>E50</f>
        <v>722</v>
      </c>
      <c r="I190" s="106"/>
      <c r="J190" s="134"/>
      <c r="K190" s="134"/>
    </row>
    <row r="191" spans="2:14">
      <c r="B191" s="134"/>
      <c r="C191" s="134" t="s">
        <v>584</v>
      </c>
      <c r="D191" s="154" t="s">
        <v>243</v>
      </c>
      <c r="E191" s="144">
        <f>E76</f>
        <v>1183</v>
      </c>
      <c r="I191" s="106"/>
      <c r="J191" s="134"/>
      <c r="K191" s="134"/>
    </row>
    <row r="192" spans="2:14">
      <c r="B192" s="134"/>
      <c r="C192" s="134" t="s">
        <v>585</v>
      </c>
      <c r="D192" s="154" t="s">
        <v>244</v>
      </c>
      <c r="E192" s="144">
        <f>E100</f>
        <v>12</v>
      </c>
      <c r="I192" s="106"/>
      <c r="J192" s="134"/>
      <c r="K192" s="134"/>
    </row>
    <row r="193" spans="2:11">
      <c r="B193" s="134"/>
      <c r="C193" s="134" t="s">
        <v>586</v>
      </c>
      <c r="D193" s="154" t="s">
        <v>245</v>
      </c>
      <c r="E193" s="144">
        <f>E127</f>
        <v>118</v>
      </c>
      <c r="I193" s="106"/>
      <c r="J193" s="134"/>
      <c r="K193" s="134"/>
    </row>
    <row r="194" spans="2:11">
      <c r="B194" s="134"/>
      <c r="C194" s="134" t="s">
        <v>587</v>
      </c>
      <c r="E194" s="150">
        <f>SUM(E183:E193)</f>
        <v>9256730</v>
      </c>
      <c r="I194" s="106"/>
      <c r="J194" s="144"/>
      <c r="K194" s="134"/>
    </row>
    <row r="195" spans="2:11">
      <c r="B195" s="134"/>
      <c r="I195" s="106"/>
      <c r="J195" s="134"/>
      <c r="K195" s="134"/>
    </row>
    <row r="196" spans="2:11">
      <c r="B196" s="134" t="s">
        <v>588</v>
      </c>
      <c r="I196" s="106"/>
      <c r="J196" s="134"/>
      <c r="K196" s="134"/>
    </row>
    <row r="197" spans="2:11">
      <c r="B197" s="134"/>
      <c r="C197" s="153" t="s">
        <v>589</v>
      </c>
      <c r="D197" s="134">
        <v>16</v>
      </c>
      <c r="E197" s="155">
        <f>E20</f>
        <v>11818</v>
      </c>
      <c r="I197" s="106"/>
      <c r="J197" s="155"/>
      <c r="K197" s="134"/>
    </row>
    <row r="198" spans="2:11">
      <c r="B198" s="134"/>
      <c r="C198" s="153" t="s">
        <v>578</v>
      </c>
      <c r="D198" s="134">
        <v>23</v>
      </c>
      <c r="E198" s="155">
        <f>E10</f>
        <v>559686814</v>
      </c>
      <c r="I198" s="106"/>
      <c r="J198" s="155"/>
      <c r="K198" s="134"/>
    </row>
    <row r="199" spans="2:11">
      <c r="B199" s="134"/>
      <c r="C199" s="153" t="s">
        <v>579</v>
      </c>
      <c r="D199" s="134">
        <v>53</v>
      </c>
      <c r="E199" s="155">
        <f>E15</f>
        <v>1223</v>
      </c>
      <c r="I199" s="106"/>
      <c r="J199" s="155"/>
      <c r="K199" s="134"/>
    </row>
    <row r="200" spans="2:11">
      <c r="B200" s="134"/>
      <c r="C200" s="156" t="s">
        <v>296</v>
      </c>
      <c r="D200" s="134">
        <v>31</v>
      </c>
      <c r="E200" s="155">
        <f>E24</f>
        <v>202815693</v>
      </c>
      <c r="I200" s="106"/>
      <c r="J200" s="155"/>
      <c r="K200" s="134"/>
    </row>
    <row r="201" spans="2:11">
      <c r="B201" s="134"/>
      <c r="C201" s="153" t="s">
        <v>300</v>
      </c>
      <c r="D201" s="134">
        <v>41</v>
      </c>
      <c r="E201" s="144">
        <f>E46</f>
        <v>77974027</v>
      </c>
      <c r="I201" s="106"/>
      <c r="J201" s="155"/>
      <c r="K201" s="134"/>
    </row>
    <row r="202" spans="2:11">
      <c r="B202" s="134"/>
      <c r="C202" s="153" t="s">
        <v>580</v>
      </c>
      <c r="D202" s="134">
        <v>85</v>
      </c>
      <c r="E202" s="144">
        <f>E72</f>
        <v>17344756</v>
      </c>
      <c r="I202" s="106"/>
      <c r="J202" s="144"/>
      <c r="K202" s="134"/>
    </row>
    <row r="203" spans="2:11">
      <c r="B203" s="134"/>
      <c r="C203" s="153" t="s">
        <v>581</v>
      </c>
      <c r="D203" s="134">
        <v>86</v>
      </c>
      <c r="E203" s="144">
        <f>E96</f>
        <v>12317849</v>
      </c>
      <c r="I203" s="106"/>
      <c r="J203" s="144"/>
      <c r="K203" s="134"/>
    </row>
    <row r="204" spans="2:11">
      <c r="B204" s="134"/>
      <c r="C204" s="153" t="s">
        <v>582</v>
      </c>
      <c r="D204" s="134">
        <v>87</v>
      </c>
      <c r="E204" s="144">
        <f>E123</f>
        <v>26567234</v>
      </c>
      <c r="I204" s="106"/>
      <c r="J204" s="144"/>
      <c r="K204" s="134"/>
    </row>
    <row r="205" spans="2:11">
      <c r="B205" s="134"/>
      <c r="C205" s="134" t="s">
        <v>583</v>
      </c>
      <c r="D205" s="154" t="s">
        <v>242</v>
      </c>
      <c r="E205" s="144">
        <f>E58</f>
        <v>10889483</v>
      </c>
      <c r="I205" s="106"/>
      <c r="J205" s="144"/>
      <c r="K205" s="134"/>
    </row>
    <row r="206" spans="2:11">
      <c r="B206" s="134"/>
      <c r="C206" s="134" t="s">
        <v>584</v>
      </c>
      <c r="D206" s="154" t="s">
        <v>243</v>
      </c>
      <c r="E206" s="144">
        <f>E84</f>
        <v>76567132</v>
      </c>
      <c r="I206" s="106"/>
      <c r="J206" s="144"/>
      <c r="K206" s="134"/>
    </row>
    <row r="207" spans="2:11">
      <c r="B207" s="134"/>
      <c r="C207" s="134" t="s">
        <v>585</v>
      </c>
      <c r="D207" s="154" t="s">
        <v>244</v>
      </c>
      <c r="E207" s="144">
        <f>E107</f>
        <v>26573</v>
      </c>
      <c r="I207" s="106"/>
      <c r="J207" s="144"/>
      <c r="K207" s="134"/>
    </row>
    <row r="208" spans="2:11">
      <c r="B208" s="134"/>
      <c r="C208" s="134" t="s">
        <v>586</v>
      </c>
      <c r="D208" s="154" t="s">
        <v>245</v>
      </c>
      <c r="E208" s="144">
        <f>E138</f>
        <v>87780838</v>
      </c>
      <c r="I208" s="106"/>
      <c r="J208" s="144"/>
      <c r="K208" s="134"/>
    </row>
    <row r="209" spans="2:11">
      <c r="B209" s="134"/>
      <c r="C209" s="135" t="s">
        <v>566</v>
      </c>
      <c r="D209" s="154"/>
      <c r="E209" s="144">
        <f>E167</f>
        <v>37893405</v>
      </c>
      <c r="I209" s="106"/>
      <c r="J209" s="144"/>
      <c r="K209" s="134"/>
    </row>
    <row r="210" spans="2:11">
      <c r="B210" s="134"/>
      <c r="C210" s="134" t="s">
        <v>590</v>
      </c>
      <c r="E210" s="150">
        <f>SUM(E197:E209)</f>
        <v>1109876845</v>
      </c>
      <c r="I210" s="106"/>
      <c r="J210" s="144"/>
      <c r="K210" s="134"/>
    </row>
    <row r="211" spans="2:11">
      <c r="B211" s="134"/>
      <c r="E211" s="144"/>
      <c r="I211" s="106"/>
      <c r="J211" s="144"/>
      <c r="K211" s="134"/>
    </row>
    <row r="212" spans="2:11">
      <c r="B212" s="134" t="s">
        <v>591</v>
      </c>
      <c r="I212" s="106"/>
      <c r="J212" s="134"/>
      <c r="K212" s="134"/>
    </row>
    <row r="213" spans="2:11">
      <c r="B213" s="134"/>
      <c r="C213" s="134" t="s">
        <v>592</v>
      </c>
      <c r="D213" s="134">
        <v>61</v>
      </c>
      <c r="E213" s="144">
        <f>E34</f>
        <v>1136284</v>
      </c>
      <c r="I213" s="106"/>
      <c r="J213" s="144"/>
      <c r="K213" s="134"/>
    </row>
    <row r="214" spans="2:11">
      <c r="B214" s="134"/>
      <c r="C214" s="153" t="s">
        <v>300</v>
      </c>
      <c r="D214" s="134">
        <v>41</v>
      </c>
      <c r="E214" s="144">
        <f>E40</f>
        <v>4308674.33</v>
      </c>
      <c r="I214" s="106"/>
      <c r="J214" s="144"/>
      <c r="K214" s="134"/>
    </row>
    <row r="215" spans="2:11">
      <c r="B215" s="134"/>
      <c r="C215" s="153" t="s">
        <v>580</v>
      </c>
      <c r="D215" s="134">
        <v>85</v>
      </c>
      <c r="E215" s="144">
        <f>E64</f>
        <v>101408</v>
      </c>
      <c r="I215" s="106"/>
      <c r="J215" s="144"/>
      <c r="K215" s="134"/>
    </row>
    <row r="216" spans="2:11">
      <c r="B216" s="134"/>
      <c r="C216" s="153" t="s">
        <v>581</v>
      </c>
      <c r="D216" s="134">
        <v>86</v>
      </c>
      <c r="E216" s="144">
        <f>E89</f>
        <v>93477</v>
      </c>
      <c r="I216" s="106"/>
      <c r="J216" s="144"/>
      <c r="K216" s="134"/>
    </row>
    <row r="217" spans="2:11">
      <c r="B217" s="134"/>
      <c r="C217" s="153" t="s">
        <v>582</v>
      </c>
      <c r="D217" s="134">
        <v>87</v>
      </c>
      <c r="E217" s="144">
        <f>E112</f>
        <v>2184</v>
      </c>
      <c r="I217" s="106"/>
      <c r="J217" s="144"/>
      <c r="K217" s="134"/>
    </row>
    <row r="218" spans="2:11">
      <c r="B218" s="134"/>
      <c r="C218" s="134" t="s">
        <v>583</v>
      </c>
      <c r="D218" s="154" t="s">
        <v>242</v>
      </c>
      <c r="E218" s="144">
        <f>E52</f>
        <v>512366</v>
      </c>
      <c r="I218" s="106"/>
      <c r="J218" s="144"/>
      <c r="K218" s="134"/>
    </row>
    <row r="219" spans="2:11">
      <c r="B219" s="134"/>
      <c r="C219" s="134" t="s">
        <v>584</v>
      </c>
      <c r="D219" s="154" t="s">
        <v>243</v>
      </c>
      <c r="E219" s="144">
        <f>E77</f>
        <v>665050</v>
      </c>
      <c r="I219" s="106"/>
      <c r="J219" s="144"/>
      <c r="K219" s="134"/>
    </row>
    <row r="220" spans="2:11">
      <c r="B220" s="134"/>
      <c r="C220" s="134" t="s">
        <v>593</v>
      </c>
      <c r="D220" s="154" t="s">
        <v>244</v>
      </c>
      <c r="E220" s="144">
        <f>E101</f>
        <v>0</v>
      </c>
      <c r="I220" s="106"/>
      <c r="J220" s="144"/>
      <c r="K220" s="134"/>
    </row>
    <row r="221" spans="2:11">
      <c r="B221" s="134"/>
      <c r="C221" s="134" t="s">
        <v>586</v>
      </c>
      <c r="D221" s="154" t="s">
        <v>245</v>
      </c>
      <c r="E221" s="144">
        <f>E128</f>
        <v>332988</v>
      </c>
      <c r="I221" s="106"/>
      <c r="J221" s="144"/>
      <c r="K221" s="134"/>
    </row>
    <row r="222" spans="2:11">
      <c r="B222" s="134"/>
      <c r="C222" s="134" t="s">
        <v>143</v>
      </c>
      <c r="E222" s="150">
        <f>SUM(E213:E221)</f>
        <v>7152431.3300000001</v>
      </c>
      <c r="I222" s="106"/>
      <c r="J222" s="144"/>
      <c r="K222" s="134"/>
    </row>
    <row r="223" spans="2:11">
      <c r="I223" s="97"/>
      <c r="J223" s="134"/>
      <c r="K223" s="134"/>
    </row>
    <row r="224" spans="2:11">
      <c r="B224" s="56" t="s">
        <v>594</v>
      </c>
      <c r="I224" s="97"/>
      <c r="J224" s="134"/>
      <c r="K224" s="134"/>
    </row>
    <row r="225" spans="2:25">
      <c r="I225" s="97"/>
      <c r="J225" s="134"/>
      <c r="K225" s="134"/>
    </row>
    <row r="228" spans="2:25" ht="16" thickBot="1">
      <c r="I228" s="97"/>
    </row>
    <row r="229" spans="2:25" ht="16" thickBot="1">
      <c r="B229" s="157" t="s">
        <v>256</v>
      </c>
      <c r="C229" s="158"/>
      <c r="D229" s="158"/>
      <c r="E229" s="159">
        <v>4</v>
      </c>
      <c r="F229" s="160"/>
      <c r="G229" s="160">
        <v>5.1169931888580322E-2</v>
      </c>
      <c r="H229" s="160"/>
      <c r="I229" s="160"/>
      <c r="J229" s="160">
        <v>0</v>
      </c>
      <c r="K229" s="160"/>
      <c r="L229" s="160"/>
      <c r="M229" s="160"/>
      <c r="N229" s="160"/>
      <c r="O229" s="160"/>
      <c r="P229" s="160"/>
      <c r="Q229" s="161"/>
      <c r="R229" s="162"/>
      <c r="S229" s="162"/>
      <c r="T229" s="162"/>
      <c r="U229" s="162"/>
      <c r="V229" s="162"/>
      <c r="W229" s="162"/>
      <c r="X229" s="162"/>
      <c r="Y229" s="162"/>
    </row>
    <row r="230" spans="2:25">
      <c r="F230" s="162"/>
      <c r="G230" s="162"/>
      <c r="H230" s="162"/>
      <c r="I230" s="162"/>
      <c r="J230" s="162"/>
      <c r="K230" s="162"/>
      <c r="L230" s="162"/>
      <c r="M230" s="162"/>
      <c r="N230" s="162"/>
      <c r="O230" s="162"/>
      <c r="P230" s="162"/>
      <c r="Q230" s="162"/>
      <c r="R230" s="162"/>
      <c r="S230" s="162"/>
      <c r="T230" s="162"/>
      <c r="U230" s="162"/>
      <c r="V230" s="162"/>
      <c r="W230" s="162"/>
      <c r="X230" s="162"/>
      <c r="Y230" s="162"/>
    </row>
    <row r="231" spans="2:25">
      <c r="F231" s="162"/>
      <c r="G231" s="162"/>
      <c r="H231" s="162"/>
      <c r="I231" s="162"/>
      <c r="J231" s="162"/>
      <c r="K231" s="162"/>
      <c r="L231" s="162"/>
      <c r="M231" s="162"/>
      <c r="N231" s="162"/>
      <c r="O231" s="162"/>
      <c r="P231" s="162"/>
      <c r="Q231" s="162"/>
      <c r="R231" s="162"/>
      <c r="S231" s="162"/>
      <c r="T231" s="162"/>
      <c r="U231" s="162"/>
      <c r="V231" s="162"/>
      <c r="W231" s="162"/>
      <c r="X231" s="162"/>
      <c r="Y231" s="162"/>
    </row>
    <row r="232" spans="2:25">
      <c r="F232" s="162"/>
      <c r="G232" s="162"/>
      <c r="H232" s="162"/>
      <c r="I232" s="162"/>
      <c r="J232" s="162"/>
      <c r="K232" s="162"/>
      <c r="L232" s="162"/>
      <c r="M232" s="162"/>
      <c r="N232" s="162"/>
      <c r="O232" s="162"/>
      <c r="P232" s="162"/>
      <c r="Q232" s="162"/>
      <c r="R232" s="162"/>
      <c r="S232" s="162"/>
      <c r="T232" s="162"/>
      <c r="U232" s="162"/>
      <c r="V232" s="162"/>
      <c r="W232" s="162"/>
      <c r="X232" s="162"/>
      <c r="Y232" s="162"/>
    </row>
    <row r="233" spans="2:25">
      <c r="F233" s="162"/>
      <c r="G233" s="162"/>
      <c r="H233" s="162"/>
      <c r="I233" s="162"/>
      <c r="J233" s="162"/>
      <c r="K233" s="162"/>
      <c r="L233" s="162"/>
      <c r="M233" s="162"/>
      <c r="N233" s="162"/>
      <c r="O233" s="162"/>
      <c r="P233" s="162"/>
      <c r="Q233" s="162"/>
      <c r="R233" s="162"/>
      <c r="S233" s="162"/>
      <c r="T233" s="162"/>
      <c r="U233" s="162"/>
      <c r="V233" s="162"/>
      <c r="W233" s="162"/>
      <c r="X233" s="162"/>
      <c r="Y233" s="162"/>
    </row>
    <row r="234" spans="2:25">
      <c r="F234" s="162"/>
      <c r="G234" s="162"/>
      <c r="H234" s="162"/>
      <c r="I234" s="162"/>
      <c r="J234" s="162"/>
      <c r="K234" s="162"/>
      <c r="L234" s="162"/>
      <c r="M234" s="162"/>
      <c r="N234" s="162"/>
      <c r="O234" s="162"/>
      <c r="P234" s="162"/>
      <c r="Q234" s="162"/>
      <c r="R234" s="162"/>
      <c r="S234" s="162"/>
      <c r="T234" s="162"/>
      <c r="U234" s="162"/>
      <c r="V234" s="162"/>
      <c r="W234" s="162"/>
      <c r="X234" s="162"/>
      <c r="Y234" s="162"/>
    </row>
  </sheetData>
  <printOptions horizontalCentered="1"/>
  <pageMargins left="0.7" right="0.7" top="0.75" bottom="0.75" header="0.3" footer="0.3"/>
  <pageSetup scale="64"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rowBreaks count="5" manualBreakCount="5">
    <brk id="47" max="15" man="1"/>
    <brk id="86" max="15" man="1"/>
    <brk id="125" max="15" man="1"/>
    <brk id="167" max="15" man="1"/>
    <brk id="195" max="15"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31"/>
  <sheetViews>
    <sheetView view="pageLayout" zoomScale="67" zoomScaleNormal="100" zoomScalePageLayoutView="67" workbookViewId="0">
      <selection activeCell="I68" sqref="I68"/>
    </sheetView>
  </sheetViews>
  <sheetFormatPr baseColWidth="10" defaultColWidth="8.83203125" defaultRowHeight="15"/>
  <cols>
    <col min="2" max="2" width="61.33203125" bestFit="1" customWidth="1"/>
    <col min="3" max="3" width="1.5" customWidth="1"/>
    <col min="4" max="4" width="6.5" bestFit="1" customWidth="1"/>
    <col min="5" max="5" width="8.6640625" bestFit="1" customWidth="1"/>
  </cols>
  <sheetData>
    <row r="1" spans="1:5" s="370" customFormat="1" ht="13"/>
    <row r="2" spans="1:5" s="370" customFormat="1" ht="13">
      <c r="A2" s="371"/>
      <c r="B2" s="372"/>
      <c r="C2" s="372"/>
      <c r="D2" s="372"/>
      <c r="E2" s="373" t="s">
        <v>595</v>
      </c>
    </row>
    <row r="3" spans="1:5" s="370" customFormat="1" ht="14" thickBot="1">
      <c r="A3" s="371"/>
      <c r="B3" s="371"/>
      <c r="C3" s="371"/>
      <c r="D3" s="371"/>
      <c r="E3" s="373" t="s">
        <v>126</v>
      </c>
    </row>
    <row r="4" spans="1:5" s="370" customFormat="1" ht="14" thickBot="1">
      <c r="A4" s="371"/>
      <c r="B4" s="371"/>
      <c r="C4" s="371"/>
      <c r="D4" s="371"/>
      <c r="E4" s="374" t="s">
        <v>596</v>
      </c>
    </row>
    <row r="5" spans="1:5" s="370" customFormat="1" ht="13">
      <c r="B5" s="632" t="s">
        <v>85</v>
      </c>
      <c r="C5" s="632"/>
      <c r="D5" s="632"/>
      <c r="E5" s="632"/>
    </row>
    <row r="6" spans="1:5" s="370" customFormat="1" ht="13">
      <c r="A6" s="375"/>
      <c r="B6" s="633" t="s">
        <v>86</v>
      </c>
      <c r="C6" s="633"/>
      <c r="D6" s="633"/>
      <c r="E6" s="633"/>
    </row>
    <row r="7" spans="1:5" s="370" customFormat="1" ht="13">
      <c r="A7" s="376"/>
      <c r="B7" s="634" t="s">
        <v>87</v>
      </c>
      <c r="C7" s="634"/>
      <c r="D7" s="634"/>
      <c r="E7" s="634"/>
    </row>
    <row r="8" spans="1:5" s="370" customFormat="1" ht="13">
      <c r="A8" s="376"/>
      <c r="B8" s="634" t="s">
        <v>88</v>
      </c>
      <c r="C8" s="634"/>
      <c r="D8" s="634"/>
      <c r="E8" s="634"/>
    </row>
    <row r="9" spans="1:5" s="370" customFormat="1" ht="13">
      <c r="A9" s="371"/>
      <c r="B9" s="371"/>
      <c r="C9" s="371"/>
      <c r="D9" s="371"/>
      <c r="E9" s="371"/>
    </row>
    <row r="10" spans="1:5" s="370" customFormat="1" ht="13">
      <c r="A10" s="603" t="s">
        <v>69</v>
      </c>
      <c r="B10" s="371"/>
      <c r="C10" s="371"/>
      <c r="D10" s="371"/>
      <c r="E10" s="371"/>
    </row>
    <row r="11" spans="1:5" s="370" customFormat="1" ht="13">
      <c r="A11" s="377" t="s">
        <v>72</v>
      </c>
      <c r="B11" s="378" t="s">
        <v>73</v>
      </c>
      <c r="C11" s="379"/>
      <c r="D11" s="379"/>
      <c r="E11" s="380" t="s">
        <v>89</v>
      </c>
    </row>
    <row r="12" spans="1:5" s="370" customFormat="1" ht="13">
      <c r="A12" s="372"/>
      <c r="B12" s="372"/>
      <c r="C12" s="372"/>
      <c r="D12" s="372"/>
      <c r="E12" s="381"/>
    </row>
    <row r="13" spans="1:5" s="370" customFormat="1" ht="13">
      <c r="A13" s="381">
        <v>1</v>
      </c>
      <c r="B13" s="382" t="s">
        <v>90</v>
      </c>
      <c r="C13" s="372"/>
      <c r="D13" s="372"/>
      <c r="E13" s="383">
        <v>3.7230000000000002E-3</v>
      </c>
    </row>
    <row r="14" spans="1:5" s="370" customFormat="1" ht="13">
      <c r="A14" s="381">
        <v>2</v>
      </c>
      <c r="B14" s="382" t="s">
        <v>91</v>
      </c>
      <c r="C14" s="372"/>
      <c r="D14" s="372"/>
      <c r="E14" s="383">
        <v>2E-3</v>
      </c>
    </row>
    <row r="15" spans="1:5" s="370" customFormat="1" ht="13">
      <c r="A15" s="381">
        <v>3</v>
      </c>
      <c r="B15" s="382" t="str">
        <f>"STATE UTILITY TAX - NET OF BAD DEBTS ( "&amp;D15*100&amp;"% - ( LINE 1 * "&amp;D15*100&amp;"%) )"</f>
        <v>STATE UTILITY TAX - NET OF BAD DEBTS ( 3.852% - ( LINE 1 * 3.852%) )</v>
      </c>
      <c r="C15" s="372"/>
      <c r="D15" s="384">
        <v>3.8519999999999999E-2</v>
      </c>
      <c r="E15" s="385">
        <f>ROUND(D15-(D15*E13),6)</f>
        <v>3.8377000000000001E-2</v>
      </c>
    </row>
    <row r="16" spans="1:5" s="370" customFormat="1" ht="13">
      <c r="A16" s="381">
        <v>4</v>
      </c>
      <c r="B16" s="382"/>
      <c r="C16" s="372"/>
      <c r="D16" s="372"/>
      <c r="E16" s="386"/>
    </row>
    <row r="17" spans="1:5" s="370" customFormat="1" ht="13">
      <c r="A17" s="381">
        <v>5</v>
      </c>
      <c r="B17" s="382" t="s">
        <v>92</v>
      </c>
      <c r="C17" s="372"/>
      <c r="D17" s="372"/>
      <c r="E17" s="383">
        <f>ROUND(SUM(E13:E15),6)</f>
        <v>4.41E-2</v>
      </c>
    </row>
    <row r="18" spans="1:5" s="370" customFormat="1" ht="13">
      <c r="A18" s="381">
        <v>6</v>
      </c>
      <c r="B18" s="372"/>
      <c r="C18" s="372"/>
      <c r="D18" s="372"/>
      <c r="E18" s="383"/>
    </row>
    <row r="19" spans="1:5" s="370" customFormat="1" ht="13">
      <c r="A19" s="381">
        <v>7</v>
      </c>
      <c r="B19" s="372" t="s">
        <v>93</v>
      </c>
      <c r="C19" s="372"/>
      <c r="D19" s="372"/>
      <c r="E19" s="383">
        <f>ROUND(1-E17,6)</f>
        <v>0.95589999999999997</v>
      </c>
    </row>
    <row r="20" spans="1:5" s="370" customFormat="1" ht="13">
      <c r="A20" s="381">
        <v>8</v>
      </c>
      <c r="B20" s="382" t="s">
        <v>94</v>
      </c>
      <c r="C20" s="372"/>
      <c r="D20" s="387">
        <v>0.35</v>
      </c>
      <c r="E20" s="383">
        <f>ROUND((E19)*D20,6)</f>
        <v>0.334565</v>
      </c>
    </row>
    <row r="21" spans="1:5" s="370" customFormat="1" ht="13">
      <c r="A21" s="381">
        <v>9</v>
      </c>
      <c r="B21" s="382" t="s">
        <v>95</v>
      </c>
      <c r="C21" s="372"/>
      <c r="D21" s="372"/>
      <c r="E21" s="388">
        <f>ROUND(1-E20-E17,6)</f>
        <v>0.62133499999999997</v>
      </c>
    </row>
    <row r="22" spans="1:5" s="370" customFormat="1" ht="13">
      <c r="A22" s="372"/>
      <c r="B22" s="372"/>
      <c r="C22" s="372"/>
      <c r="D22" s="372"/>
      <c r="E22" s="381"/>
    </row>
    <row r="23" spans="1:5" s="370" customFormat="1" ht="13"/>
    <row r="24" spans="1:5" s="370" customFormat="1" ht="13">
      <c r="A24" s="389"/>
      <c r="B24" s="389"/>
      <c r="C24" s="389"/>
      <c r="D24" s="389"/>
      <c r="E24" s="389"/>
    </row>
    <row r="25" spans="1:5" s="370" customFormat="1" ht="13">
      <c r="E25" s="390"/>
    </row>
    <row r="26" spans="1:5" s="370" customFormat="1" ht="13"/>
    <row r="27" spans="1:5" s="370" customFormat="1" ht="13"/>
    <row r="28" spans="1:5" s="370" customFormat="1" ht="13"/>
    <row r="29" spans="1:5" s="370" customFormat="1" ht="13"/>
    <row r="30" spans="1:5" s="370" customFormat="1" ht="13"/>
    <row r="31" spans="1:5" s="370" customFormat="1" ht="13"/>
  </sheetData>
  <mergeCells count="4">
    <mergeCell ref="B5:E5"/>
    <mergeCell ref="B6:E6"/>
    <mergeCell ref="B7:E7"/>
    <mergeCell ref="B8:E8"/>
  </mergeCells>
  <printOptions horizontalCentered="1"/>
  <pageMargins left="0.7" right="0.7" top="0.75" bottom="0.75" header="0.3" footer="0.3"/>
  <pageSetup orientation="landscape" blackAndWhite="1"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O50"/>
  <sheetViews>
    <sheetView view="pageLayout" topLeftCell="A5" zoomScale="62" zoomScaleNormal="100" zoomScalePageLayoutView="62" workbookViewId="0">
      <selection activeCell="I68" sqref="I68"/>
    </sheetView>
  </sheetViews>
  <sheetFormatPr baseColWidth="10" defaultColWidth="9.1640625" defaultRowHeight="14"/>
  <cols>
    <col min="1" max="1" width="6" style="33" customWidth="1"/>
    <col min="2" max="2" width="51" style="33" customWidth="1"/>
    <col min="3" max="3" width="20.33203125" style="33" customWidth="1"/>
    <col min="4" max="4" width="16.5" style="33" customWidth="1"/>
    <col min="5" max="5" width="17.6640625" style="33" bestFit="1" customWidth="1"/>
    <col min="6" max="6" width="14.5" style="33" bestFit="1" customWidth="1"/>
    <col min="7" max="7" width="9.1640625" style="33"/>
    <col min="8" max="8" width="10.33203125" style="33" bestFit="1" customWidth="1"/>
    <col min="9" max="16384" width="9.1640625" style="33"/>
  </cols>
  <sheetData>
    <row r="1" spans="1:15">
      <c r="A1" s="635" t="s">
        <v>22</v>
      </c>
      <c r="B1" s="635"/>
      <c r="C1" s="635"/>
      <c r="D1" s="635"/>
      <c r="E1" s="635"/>
      <c r="F1" s="329"/>
      <c r="G1" s="329"/>
      <c r="H1" s="329"/>
      <c r="I1" s="329"/>
      <c r="J1" s="329"/>
      <c r="K1" s="329"/>
      <c r="L1" s="329"/>
      <c r="M1" s="329"/>
      <c r="N1" s="329"/>
      <c r="O1" s="329"/>
    </row>
    <row r="2" spans="1:15">
      <c r="A2" s="635" t="s">
        <v>597</v>
      </c>
      <c r="B2" s="635"/>
      <c r="C2" s="635"/>
      <c r="D2" s="635"/>
      <c r="E2" s="635"/>
      <c r="F2" s="329"/>
      <c r="G2" s="329"/>
      <c r="H2" s="329"/>
      <c r="I2" s="329"/>
      <c r="J2" s="329"/>
      <c r="K2" s="329"/>
      <c r="L2" s="329"/>
      <c r="M2" s="329"/>
      <c r="N2" s="329"/>
      <c r="O2" s="329"/>
    </row>
    <row r="3" spans="1:15">
      <c r="A3" s="635" t="s">
        <v>598</v>
      </c>
      <c r="B3" s="635"/>
      <c r="C3" s="635"/>
      <c r="D3" s="635"/>
      <c r="E3" s="635"/>
      <c r="F3" s="329"/>
      <c r="G3" s="329"/>
      <c r="H3" s="329"/>
      <c r="I3" s="329"/>
      <c r="J3" s="329"/>
      <c r="K3" s="329"/>
      <c r="L3" s="329"/>
      <c r="M3" s="329"/>
      <c r="N3" s="329"/>
      <c r="O3" s="329"/>
    </row>
    <row r="4" spans="1:15">
      <c r="A4" s="635"/>
      <c r="B4" s="635"/>
      <c r="C4" s="635"/>
      <c r="D4" s="635"/>
      <c r="E4" s="635"/>
      <c r="F4" s="329"/>
      <c r="G4" s="329"/>
      <c r="H4" s="329"/>
      <c r="I4" s="329"/>
      <c r="J4" s="329"/>
      <c r="K4" s="329"/>
      <c r="L4" s="329"/>
      <c r="M4" s="329"/>
      <c r="N4" s="329"/>
      <c r="O4" s="329"/>
    </row>
    <row r="5" spans="1:15">
      <c r="A5" s="45"/>
      <c r="B5" s="45"/>
      <c r="C5" s="45"/>
      <c r="D5" s="45"/>
      <c r="E5" s="45"/>
    </row>
    <row r="6" spans="1:15">
      <c r="A6" s="45"/>
      <c r="B6" s="45"/>
      <c r="C6" s="45"/>
      <c r="D6" s="45"/>
      <c r="E6" s="45"/>
    </row>
    <row r="7" spans="1:15" ht="28">
      <c r="A7" s="37" t="s">
        <v>26</v>
      </c>
      <c r="B7" s="38"/>
      <c r="C7" s="37" t="s">
        <v>27</v>
      </c>
      <c r="D7" s="37" t="s">
        <v>28</v>
      </c>
      <c r="E7" s="37" t="s">
        <v>29</v>
      </c>
    </row>
    <row r="8" spans="1:15">
      <c r="A8" s="39"/>
      <c r="B8" s="40" t="s">
        <v>30</v>
      </c>
      <c r="C8" s="40" t="s">
        <v>31</v>
      </c>
      <c r="D8" s="40" t="s">
        <v>32</v>
      </c>
      <c r="E8" s="40" t="s">
        <v>33</v>
      </c>
    </row>
    <row r="9" spans="1:15">
      <c r="A9" s="40">
        <v>1</v>
      </c>
      <c r="B9" s="41"/>
      <c r="C9" s="40"/>
      <c r="D9" s="40"/>
      <c r="E9" s="40"/>
    </row>
    <row r="10" spans="1:15">
      <c r="A10" s="40">
        <f t="shared" ref="A10:A40" si="0">A9+1</f>
        <v>2</v>
      </c>
      <c r="B10" s="39" t="s">
        <v>599</v>
      </c>
      <c r="C10" s="40" t="s">
        <v>35</v>
      </c>
      <c r="D10" s="42">
        <v>291431765.88</v>
      </c>
      <c r="E10" s="42">
        <v>106613183.72</v>
      </c>
    </row>
    <row r="11" spans="1:15">
      <c r="A11" s="40">
        <f t="shared" si="0"/>
        <v>3</v>
      </c>
      <c r="B11" s="39"/>
      <c r="C11" s="39"/>
      <c r="D11" s="39"/>
      <c r="E11" s="39"/>
    </row>
    <row r="12" spans="1:15">
      <c r="A12" s="40">
        <f t="shared" si="0"/>
        <v>4</v>
      </c>
      <c r="B12" s="39" t="s">
        <v>600</v>
      </c>
      <c r="C12" s="40" t="s">
        <v>601</v>
      </c>
      <c r="D12" s="43">
        <v>703594.25</v>
      </c>
      <c r="E12" s="43">
        <v>56396.416666666657</v>
      </c>
    </row>
    <row r="13" spans="1:15">
      <c r="A13" s="40">
        <f t="shared" si="0"/>
        <v>5</v>
      </c>
      <c r="B13" s="39"/>
      <c r="C13" s="39"/>
      <c r="D13" s="43"/>
      <c r="E13" s="43"/>
    </row>
    <row r="14" spans="1:15">
      <c r="A14" s="40">
        <f t="shared" si="0"/>
        <v>6</v>
      </c>
      <c r="B14" s="39" t="s">
        <v>602</v>
      </c>
      <c r="C14" s="40" t="str">
        <f>"("&amp;A10&amp;") / ("&amp;A12&amp;")"</f>
        <v>(2) / (4)</v>
      </c>
      <c r="D14" s="44">
        <f>ROUND(D10/D12,2)</f>
        <v>414.2</v>
      </c>
      <c r="E14" s="44">
        <f>ROUND(E10/E12,2)</f>
        <v>1890.42</v>
      </c>
    </row>
    <row r="15" spans="1:15">
      <c r="A15" s="40">
        <f t="shared" si="0"/>
        <v>7</v>
      </c>
      <c r="B15" s="39"/>
      <c r="C15" s="40"/>
      <c r="D15" s="45"/>
      <c r="E15" s="45"/>
    </row>
    <row r="16" spans="1:15">
      <c r="A16" s="40">
        <f t="shared" si="0"/>
        <v>8</v>
      </c>
      <c r="B16" s="39" t="s">
        <v>255</v>
      </c>
      <c r="C16" s="40"/>
      <c r="D16" s="45"/>
      <c r="E16" s="45"/>
    </row>
    <row r="17" spans="1:11">
      <c r="A17" s="40">
        <f t="shared" si="0"/>
        <v>9</v>
      </c>
      <c r="B17" s="39" t="s">
        <v>603</v>
      </c>
      <c r="C17" s="40" t="s">
        <v>604</v>
      </c>
      <c r="D17" s="173">
        <v>1.022</v>
      </c>
      <c r="E17" s="173">
        <v>1.022</v>
      </c>
    </row>
    <row r="18" spans="1:11">
      <c r="A18" s="40">
        <f t="shared" si="0"/>
        <v>10</v>
      </c>
      <c r="B18" s="39" t="s">
        <v>605</v>
      </c>
      <c r="C18" s="40" t="s">
        <v>604</v>
      </c>
      <c r="D18" s="173">
        <v>1.022</v>
      </c>
      <c r="E18" s="173">
        <v>1.022</v>
      </c>
    </row>
    <row r="19" spans="1:11">
      <c r="A19" s="40">
        <f t="shared" si="0"/>
        <v>11</v>
      </c>
      <c r="B19" s="39" t="s">
        <v>606</v>
      </c>
      <c r="C19" s="40" t="s">
        <v>604</v>
      </c>
      <c r="D19" s="173">
        <v>1.022</v>
      </c>
      <c r="E19" s="173">
        <v>1.022</v>
      </c>
    </row>
    <row r="20" spans="1:11">
      <c r="A20" s="40">
        <f t="shared" si="0"/>
        <v>12</v>
      </c>
      <c r="B20" s="39" t="s">
        <v>607</v>
      </c>
      <c r="C20" s="40" t="s">
        <v>604</v>
      </c>
      <c r="D20" s="173">
        <v>1.022</v>
      </c>
      <c r="E20" s="173">
        <v>1.022</v>
      </c>
    </row>
    <row r="21" spans="1:11">
      <c r="A21" s="40">
        <f t="shared" si="0"/>
        <v>13</v>
      </c>
      <c r="B21" s="39" t="s">
        <v>608</v>
      </c>
      <c r="C21" s="40" t="s">
        <v>604</v>
      </c>
      <c r="D21" s="173">
        <v>1.022</v>
      </c>
      <c r="E21" s="173">
        <v>1.022</v>
      </c>
    </row>
    <row r="22" spans="1:11">
      <c r="A22" s="40">
        <f t="shared" si="0"/>
        <v>14</v>
      </c>
      <c r="B22" s="45"/>
      <c r="C22" s="45"/>
      <c r="D22" s="47"/>
      <c r="E22" s="47"/>
    </row>
    <row r="23" spans="1:11">
      <c r="A23" s="40">
        <f t="shared" si="0"/>
        <v>15</v>
      </c>
      <c r="B23" s="39" t="s">
        <v>609</v>
      </c>
      <c r="C23" s="45"/>
      <c r="D23" s="47"/>
      <c r="E23" s="47"/>
    </row>
    <row r="24" spans="1:11">
      <c r="A24" s="40">
        <f t="shared" si="0"/>
        <v>16</v>
      </c>
      <c r="B24" s="39" t="s">
        <v>605</v>
      </c>
      <c r="C24" s="40" t="s">
        <v>58</v>
      </c>
      <c r="D24" s="46">
        <f>ROUND(ROUND(D$17*D14,2)*D18,2)</f>
        <v>432.62</v>
      </c>
      <c r="E24" s="46">
        <f>ROUND(ROUND(E$17*E14,2)*E18,2)</f>
        <v>1974.51</v>
      </c>
      <c r="J24" s="49"/>
      <c r="K24" s="49"/>
    </row>
    <row r="25" spans="1:11">
      <c r="A25" s="40">
        <f t="shared" si="0"/>
        <v>17</v>
      </c>
      <c r="B25" s="39" t="s">
        <v>606</v>
      </c>
      <c r="C25" s="40" t="str">
        <f>"("&amp;A24&amp;") x ("&amp;A19&amp;")"</f>
        <v>(16) x (11)</v>
      </c>
      <c r="D25" s="46">
        <f>ROUND(D$19*D24,2)</f>
        <v>442.14</v>
      </c>
      <c r="E25" s="46">
        <f>ROUND(E$19*E24,2)</f>
        <v>2017.95</v>
      </c>
      <c r="J25" s="49"/>
      <c r="K25" s="49"/>
    </row>
    <row r="26" spans="1:11">
      <c r="A26" s="40">
        <f t="shared" si="0"/>
        <v>18</v>
      </c>
      <c r="B26" s="39" t="s">
        <v>607</v>
      </c>
      <c r="C26" s="40" t="str">
        <f>"("&amp;A25&amp;") x ("&amp;A20&amp;")"</f>
        <v>(17) x (12)</v>
      </c>
      <c r="D26" s="46">
        <f>ROUND(D$20*D25,2)</f>
        <v>451.87</v>
      </c>
      <c r="E26" s="46">
        <f>ROUND(E$20*E25,2)</f>
        <v>2062.34</v>
      </c>
      <c r="J26" s="49"/>
      <c r="K26" s="49"/>
    </row>
    <row r="27" spans="1:11">
      <c r="A27" s="40">
        <f t="shared" si="0"/>
        <v>19</v>
      </c>
      <c r="B27" s="39" t="s">
        <v>608</v>
      </c>
      <c r="C27" s="40" t="str">
        <f>"("&amp;A26&amp;") x ("&amp;A21&amp;")"</f>
        <v>(18) x (13)</v>
      </c>
      <c r="D27" s="46">
        <f>ROUND(D$21*D26,2)</f>
        <v>461.81</v>
      </c>
      <c r="E27" s="46">
        <f>ROUND(E$21*E26,2)</f>
        <v>2107.71</v>
      </c>
      <c r="J27" s="49"/>
      <c r="K27" s="49"/>
    </row>
    <row r="28" spans="1:11">
      <c r="A28" s="40">
        <f t="shared" si="0"/>
        <v>20</v>
      </c>
      <c r="B28" s="39"/>
      <c r="C28" s="40"/>
      <c r="D28" s="45"/>
      <c r="E28" s="45"/>
      <c r="J28" s="49"/>
      <c r="K28" s="49"/>
    </row>
    <row r="29" spans="1:11">
      <c r="A29" s="40">
        <f t="shared" si="0"/>
        <v>21</v>
      </c>
      <c r="B29" s="39" t="s">
        <v>610</v>
      </c>
      <c r="C29" s="171" t="s">
        <v>35</v>
      </c>
      <c r="D29" s="174">
        <v>88147473.959999993</v>
      </c>
      <c r="E29" s="174">
        <v>28582722.169999998</v>
      </c>
      <c r="J29" s="49"/>
      <c r="K29" s="49"/>
    </row>
    <row r="30" spans="1:11">
      <c r="A30" s="40">
        <f t="shared" si="0"/>
        <v>22</v>
      </c>
      <c r="B30" s="39"/>
      <c r="C30" s="40"/>
      <c r="D30" s="46"/>
      <c r="E30" s="46"/>
      <c r="J30" s="49"/>
      <c r="K30" s="49"/>
    </row>
    <row r="31" spans="1:11">
      <c r="A31" s="40">
        <f t="shared" si="0"/>
        <v>23</v>
      </c>
      <c r="B31" s="39" t="s">
        <v>611</v>
      </c>
      <c r="C31" s="40" t="str">
        <f>"("&amp;A29&amp;") / ("&amp;A12&amp;")"</f>
        <v>(21) / (4)</v>
      </c>
      <c r="D31" s="44">
        <f>ROUND(D29/D12,2)</f>
        <v>125.28</v>
      </c>
      <c r="E31" s="44">
        <f>ROUND(E29/E12,2)</f>
        <v>506.82</v>
      </c>
      <c r="J31" s="49"/>
      <c r="K31" s="49"/>
    </row>
    <row r="32" spans="1:11">
      <c r="A32" s="40">
        <f t="shared" si="0"/>
        <v>24</v>
      </c>
      <c r="B32" s="39"/>
      <c r="C32" s="40"/>
      <c r="D32" s="45"/>
      <c r="E32" s="45"/>
      <c r="J32" s="49"/>
      <c r="K32" s="49"/>
    </row>
    <row r="33" spans="1:11">
      <c r="A33" s="40">
        <f t="shared" si="0"/>
        <v>25</v>
      </c>
      <c r="B33" s="39" t="s">
        <v>612</v>
      </c>
      <c r="C33" s="45"/>
      <c r="D33" s="47"/>
      <c r="E33" s="47"/>
      <c r="J33" s="49"/>
      <c r="K33" s="49"/>
    </row>
    <row r="34" spans="1:11">
      <c r="A34" s="40">
        <f t="shared" si="0"/>
        <v>26</v>
      </c>
      <c r="B34" s="39" t="s">
        <v>605</v>
      </c>
      <c r="C34" s="40" t="str">
        <f t="shared" ref="C34:C37" si="1">"("&amp;A24&amp;") - ("&amp;A$31&amp;")"</f>
        <v>(16) - (23)</v>
      </c>
      <c r="D34" s="46">
        <f>D24-D$31</f>
        <v>307.34000000000003</v>
      </c>
      <c r="E34" s="46">
        <f>E24-E$31</f>
        <v>1467.69</v>
      </c>
      <c r="J34" s="49"/>
      <c r="K34" s="49"/>
    </row>
    <row r="35" spans="1:11">
      <c r="A35" s="40">
        <f t="shared" si="0"/>
        <v>27</v>
      </c>
      <c r="B35" s="39" t="s">
        <v>606</v>
      </c>
      <c r="C35" s="40" t="str">
        <f t="shared" si="1"/>
        <v>(17) - (23)</v>
      </c>
      <c r="D35" s="46">
        <f t="shared" ref="D35:D37" si="2">D25-D$31</f>
        <v>316.86</v>
      </c>
      <c r="E35" s="46">
        <f>E25-E$31</f>
        <v>1511.13</v>
      </c>
      <c r="J35" s="49"/>
      <c r="K35" s="49"/>
    </row>
    <row r="36" spans="1:11">
      <c r="A36" s="40">
        <f t="shared" si="0"/>
        <v>28</v>
      </c>
      <c r="B36" s="39" t="s">
        <v>607</v>
      </c>
      <c r="C36" s="40" t="str">
        <f t="shared" si="1"/>
        <v>(18) - (23)</v>
      </c>
      <c r="D36" s="46">
        <f t="shared" si="2"/>
        <v>326.59000000000003</v>
      </c>
      <c r="E36" s="46">
        <f>E26-E$31</f>
        <v>1555.5200000000002</v>
      </c>
      <c r="J36" s="49"/>
      <c r="K36" s="49"/>
    </row>
    <row r="37" spans="1:11">
      <c r="A37" s="40">
        <f t="shared" si="0"/>
        <v>29</v>
      </c>
      <c r="B37" s="39" t="s">
        <v>608</v>
      </c>
      <c r="C37" s="40" t="str">
        <f t="shared" si="1"/>
        <v>(19) - (23)</v>
      </c>
      <c r="D37" s="46">
        <f t="shared" si="2"/>
        <v>336.53</v>
      </c>
      <c r="E37" s="46">
        <f>E27-E$31</f>
        <v>1600.89</v>
      </c>
      <c r="J37" s="49"/>
      <c r="K37" s="49"/>
    </row>
    <row r="38" spans="1:11">
      <c r="A38" s="40">
        <f t="shared" si="0"/>
        <v>30</v>
      </c>
      <c r="B38" s="45"/>
      <c r="C38" s="45"/>
      <c r="D38" s="47"/>
      <c r="E38" s="47"/>
    </row>
    <row r="39" spans="1:11">
      <c r="A39" s="40">
        <f t="shared" si="0"/>
        <v>31</v>
      </c>
      <c r="B39" s="45" t="s">
        <v>613</v>
      </c>
      <c r="C39" s="45"/>
      <c r="D39" s="45"/>
      <c r="E39" s="45"/>
    </row>
    <row r="40" spans="1:11">
      <c r="A40" s="40">
        <f t="shared" si="0"/>
        <v>32</v>
      </c>
      <c r="B40" s="45" t="s">
        <v>614</v>
      </c>
      <c r="C40" s="45"/>
      <c r="D40" s="48"/>
      <c r="E40" s="48"/>
    </row>
    <row r="41" spans="1:11">
      <c r="A41" s="40"/>
      <c r="C41" s="45"/>
      <c r="D41" s="47"/>
      <c r="E41" s="47"/>
    </row>
    <row r="43" spans="1:11">
      <c r="D43" s="49"/>
      <c r="E43" s="49"/>
    </row>
    <row r="44" spans="1:11">
      <c r="D44" s="36"/>
      <c r="E44" s="36"/>
    </row>
    <row r="46" spans="1:11">
      <c r="D46" s="49"/>
      <c r="E46" s="49"/>
    </row>
    <row r="47" spans="1:11">
      <c r="D47" s="49"/>
      <c r="E47" s="49"/>
    </row>
    <row r="48" spans="1:11">
      <c r="D48" s="49"/>
      <c r="E48" s="49"/>
    </row>
    <row r="49" spans="4:5">
      <c r="D49" s="49"/>
      <c r="E49" s="49"/>
    </row>
    <row r="50" spans="4:5">
      <c r="D50" s="49"/>
      <c r="E50" s="49"/>
    </row>
  </sheetData>
  <mergeCells count="4">
    <mergeCell ref="A1:E1"/>
    <mergeCell ref="A2:E2"/>
    <mergeCell ref="A3:E3"/>
    <mergeCell ref="A4:E4"/>
  </mergeCells>
  <printOptions horizontalCentered="1"/>
  <pageMargins left="0.7" right="0.7" top="0.75" bottom="0.75" header="0.3" footer="0.3"/>
  <pageSetup scale="91" orientation="landscape" blackAndWhite="1"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75"/>
  <sheetViews>
    <sheetView view="pageLayout" zoomScale="25" zoomScaleNormal="100" zoomScalePageLayoutView="25" workbookViewId="0">
      <selection activeCell="E54" sqref="E54"/>
    </sheetView>
  </sheetViews>
  <sheetFormatPr baseColWidth="10" defaultColWidth="9.1640625" defaultRowHeight="13"/>
  <cols>
    <col min="1" max="1" width="5.83203125" style="316" customWidth="1"/>
    <col min="2" max="2" width="45.1640625" style="316" customWidth="1"/>
    <col min="3" max="3" width="14" style="391" bestFit="1" customWidth="1"/>
    <col min="4" max="6" width="14" style="391" customWidth="1"/>
    <col min="7" max="7" width="12.33203125" style="391" bestFit="1" customWidth="1"/>
    <col min="8" max="13" width="12.33203125" style="316" bestFit="1" customWidth="1"/>
    <col min="14" max="15" width="14" style="316" bestFit="1" customWidth="1"/>
    <col min="16" max="16" width="12.6640625" style="316" bestFit="1" customWidth="1"/>
    <col min="17" max="17" width="13.83203125" style="316" bestFit="1" customWidth="1"/>
    <col min="18" max="16384" width="9.1640625" style="316"/>
  </cols>
  <sheetData>
    <row r="1" spans="1:17">
      <c r="A1" s="635" t="s">
        <v>22</v>
      </c>
      <c r="B1" s="635"/>
      <c r="C1" s="635"/>
      <c r="D1" s="635"/>
      <c r="E1" s="635"/>
      <c r="F1" s="635"/>
      <c r="G1" s="635"/>
      <c r="H1" s="635"/>
      <c r="I1" s="635"/>
      <c r="J1" s="635"/>
      <c r="K1" s="635"/>
      <c r="L1" s="635"/>
      <c r="M1" s="635"/>
      <c r="N1" s="635"/>
      <c r="O1" s="635"/>
      <c r="P1" s="635"/>
    </row>
    <row r="2" spans="1:17">
      <c r="A2" s="635" t="s">
        <v>597</v>
      </c>
      <c r="B2" s="635"/>
      <c r="C2" s="635"/>
      <c r="D2" s="635"/>
      <c r="E2" s="635"/>
      <c r="F2" s="635"/>
      <c r="G2" s="635"/>
      <c r="H2" s="635"/>
      <c r="I2" s="635"/>
      <c r="J2" s="635"/>
      <c r="K2" s="635"/>
      <c r="L2" s="635"/>
      <c r="M2" s="635"/>
      <c r="N2" s="635"/>
      <c r="O2" s="635"/>
      <c r="P2" s="635"/>
    </row>
    <row r="3" spans="1:17">
      <c r="A3" s="635" t="s">
        <v>615</v>
      </c>
      <c r="B3" s="635"/>
      <c r="C3" s="635"/>
      <c r="D3" s="635"/>
      <c r="E3" s="635"/>
      <c r="F3" s="635"/>
      <c r="G3" s="635"/>
      <c r="H3" s="635"/>
      <c r="I3" s="635"/>
      <c r="J3" s="635"/>
      <c r="K3" s="635"/>
      <c r="L3" s="635"/>
      <c r="M3" s="635"/>
      <c r="N3" s="635"/>
      <c r="O3" s="635"/>
      <c r="P3" s="635"/>
    </row>
    <row r="4" spans="1:17">
      <c r="A4" s="635"/>
      <c r="B4" s="635"/>
      <c r="C4" s="635"/>
      <c r="D4" s="635"/>
      <c r="E4" s="635"/>
      <c r="F4" s="635"/>
      <c r="G4" s="635"/>
      <c r="H4" s="635"/>
      <c r="I4" s="635"/>
      <c r="J4" s="635"/>
      <c r="K4" s="635"/>
      <c r="L4" s="635"/>
      <c r="M4" s="635"/>
      <c r="N4" s="635"/>
      <c r="O4" s="635"/>
      <c r="P4" s="635"/>
    </row>
    <row r="5" spans="1:17">
      <c r="A5" s="635"/>
      <c r="B5" s="635"/>
      <c r="C5" s="635"/>
      <c r="D5" s="635"/>
      <c r="E5" s="635"/>
      <c r="F5" s="635"/>
      <c r="G5" s="635"/>
      <c r="H5" s="635"/>
      <c r="I5" s="635"/>
      <c r="J5" s="635"/>
      <c r="K5" s="635"/>
      <c r="L5" s="635"/>
      <c r="M5" s="635"/>
      <c r="N5" s="635"/>
      <c r="O5" s="635"/>
      <c r="P5" s="635"/>
    </row>
    <row r="6" spans="1:17">
      <c r="A6" s="39"/>
      <c r="B6" s="39"/>
      <c r="C6" s="40"/>
      <c r="D6" s="40"/>
      <c r="E6" s="40"/>
      <c r="F6" s="40"/>
      <c r="G6" s="40"/>
      <c r="H6" s="39"/>
      <c r="I6" s="39"/>
      <c r="J6" s="39"/>
      <c r="K6" s="39"/>
      <c r="L6" s="39"/>
      <c r="M6" s="39"/>
      <c r="N6" s="39"/>
      <c r="O6" s="39"/>
      <c r="P6" s="39"/>
    </row>
    <row r="7" spans="1:17">
      <c r="A7" s="39"/>
      <c r="B7" s="39"/>
      <c r="C7" s="40"/>
      <c r="D7" s="40"/>
      <c r="E7" s="40"/>
      <c r="F7" s="40"/>
      <c r="G7" s="40"/>
      <c r="H7" s="39"/>
      <c r="I7" s="39"/>
      <c r="J7" s="39"/>
      <c r="K7" s="39"/>
      <c r="L7" s="39"/>
      <c r="M7" s="39"/>
      <c r="N7" s="39"/>
      <c r="O7" s="39"/>
      <c r="P7" s="39"/>
    </row>
    <row r="8" spans="1:17" ht="28">
      <c r="A8" s="37" t="s">
        <v>26</v>
      </c>
      <c r="B8" s="38"/>
      <c r="C8" s="37" t="s">
        <v>27</v>
      </c>
      <c r="D8" s="393" t="s">
        <v>616</v>
      </c>
      <c r="E8" s="393" t="s">
        <v>617</v>
      </c>
      <c r="F8" s="393" t="s">
        <v>618</v>
      </c>
      <c r="G8" s="393" t="s">
        <v>619</v>
      </c>
      <c r="H8" s="393" t="s">
        <v>620</v>
      </c>
      <c r="I8" s="393" t="s">
        <v>621</v>
      </c>
      <c r="J8" s="393" t="s">
        <v>622</v>
      </c>
      <c r="K8" s="393" t="s">
        <v>623</v>
      </c>
      <c r="L8" s="393" t="s">
        <v>624</v>
      </c>
      <c r="M8" s="393" t="s">
        <v>625</v>
      </c>
      <c r="N8" s="393" t="s">
        <v>626</v>
      </c>
      <c r="O8" s="393" t="s">
        <v>627</v>
      </c>
      <c r="P8" s="37" t="s">
        <v>81</v>
      </c>
    </row>
    <row r="9" spans="1:17">
      <c r="A9" s="39"/>
      <c r="B9" s="40" t="s">
        <v>30</v>
      </c>
      <c r="C9" s="40" t="s">
        <v>31</v>
      </c>
      <c r="D9" s="40" t="s">
        <v>32</v>
      </c>
      <c r="E9" s="40" t="s">
        <v>33</v>
      </c>
      <c r="F9" s="40" t="s">
        <v>145</v>
      </c>
      <c r="G9" s="40" t="s">
        <v>291</v>
      </c>
      <c r="H9" s="40" t="s">
        <v>292</v>
      </c>
      <c r="I9" s="40" t="s">
        <v>293</v>
      </c>
      <c r="J9" s="40" t="s">
        <v>294</v>
      </c>
      <c r="K9" s="40" t="s">
        <v>358</v>
      </c>
      <c r="L9" s="40" t="s">
        <v>359</v>
      </c>
      <c r="M9" s="40" t="s">
        <v>360</v>
      </c>
      <c r="N9" s="40" t="s">
        <v>361</v>
      </c>
      <c r="O9" s="40" t="s">
        <v>362</v>
      </c>
      <c r="P9" s="40" t="s">
        <v>628</v>
      </c>
    </row>
    <row r="10" spans="1:17">
      <c r="A10" s="40">
        <v>1</v>
      </c>
      <c r="B10" s="41"/>
      <c r="C10" s="40"/>
      <c r="D10" s="40"/>
      <c r="E10" s="40"/>
      <c r="F10" s="40"/>
      <c r="G10" s="40"/>
      <c r="H10" s="40"/>
      <c r="I10" s="40"/>
      <c r="J10" s="39"/>
      <c r="K10" s="39"/>
      <c r="L10" s="39"/>
      <c r="M10" s="39"/>
      <c r="N10" s="39"/>
      <c r="O10" s="39"/>
      <c r="P10" s="39"/>
    </row>
    <row r="11" spans="1:17">
      <c r="A11" s="40">
        <f t="shared" ref="A11:A59" si="0">A10+1</f>
        <v>2</v>
      </c>
      <c r="B11" s="394" t="s">
        <v>629</v>
      </c>
      <c r="C11" s="40"/>
      <c r="D11" s="39"/>
      <c r="E11" s="39"/>
      <c r="F11" s="39"/>
      <c r="G11" s="39"/>
      <c r="H11" s="42"/>
      <c r="I11" s="42"/>
      <c r="J11" s="39"/>
      <c r="K11" s="39"/>
      <c r="L11" s="39"/>
      <c r="M11" s="39"/>
      <c r="N11" s="39"/>
      <c r="O11" s="39"/>
      <c r="P11" s="395"/>
    </row>
    <row r="12" spans="1:17">
      <c r="A12" s="40">
        <f t="shared" si="0"/>
        <v>3</v>
      </c>
      <c r="B12" s="396" t="s">
        <v>28</v>
      </c>
      <c r="C12" s="40"/>
      <c r="D12" s="39"/>
      <c r="E12" s="39"/>
      <c r="F12" s="39"/>
      <c r="G12" s="39"/>
      <c r="H12" s="39"/>
      <c r="I12" s="39"/>
      <c r="J12" s="39"/>
      <c r="K12" s="39"/>
      <c r="L12" s="39"/>
      <c r="M12" s="39"/>
      <c r="N12" s="39"/>
      <c r="O12" s="39"/>
      <c r="P12" s="395"/>
    </row>
    <row r="13" spans="1:17">
      <c r="A13" s="40">
        <f t="shared" si="0"/>
        <v>4</v>
      </c>
      <c r="B13" s="39" t="s">
        <v>630</v>
      </c>
      <c r="C13" s="40" t="s">
        <v>35</v>
      </c>
      <c r="D13" s="397">
        <v>82909423.153419286</v>
      </c>
      <c r="E13" s="397">
        <v>76920930.605417892</v>
      </c>
      <c r="F13" s="397">
        <v>65310361.330623776</v>
      </c>
      <c r="G13" s="397">
        <v>46709364.393084884</v>
      </c>
      <c r="H13" s="397">
        <v>29241746.40799373</v>
      </c>
      <c r="I13" s="397">
        <v>18879747.050347224</v>
      </c>
      <c r="J13" s="397">
        <v>14919651.816531396</v>
      </c>
      <c r="K13" s="397">
        <v>13782268.58293725</v>
      </c>
      <c r="L13" s="397">
        <v>19093378.555394452</v>
      </c>
      <c r="M13" s="397">
        <v>39965906.109367944</v>
      </c>
      <c r="N13" s="397">
        <v>67290740.72704953</v>
      </c>
      <c r="O13" s="397">
        <v>84664518.086575538</v>
      </c>
      <c r="P13" s="398">
        <f>SUM(D13:O13)</f>
        <v>559688036.81874299</v>
      </c>
      <c r="Q13" s="267"/>
    </row>
    <row r="14" spans="1:17">
      <c r="A14" s="40">
        <f t="shared" si="0"/>
        <v>5</v>
      </c>
      <c r="B14" s="39" t="s">
        <v>631</v>
      </c>
      <c r="C14" s="399" t="s">
        <v>632</v>
      </c>
      <c r="D14" s="400">
        <f t="shared" ref="D14:O14" si="1">D13/$P13</f>
        <v>0.14813506399864287</v>
      </c>
      <c r="E14" s="400">
        <f t="shared" si="1"/>
        <v>0.13743536674936829</v>
      </c>
      <c r="F14" s="400">
        <f t="shared" si="1"/>
        <v>0.1166906509237659</v>
      </c>
      <c r="G14" s="400">
        <f t="shared" si="1"/>
        <v>8.3456070740014557E-2</v>
      </c>
      <c r="H14" s="400">
        <f t="shared" si="1"/>
        <v>5.2246509634551609E-2</v>
      </c>
      <c r="I14" s="400">
        <f t="shared" si="1"/>
        <v>3.3732625692089784E-2</v>
      </c>
      <c r="J14" s="400">
        <f t="shared" si="1"/>
        <v>2.665708543876413E-2</v>
      </c>
      <c r="K14" s="400">
        <f t="shared" si="1"/>
        <v>2.4624911872827268E-2</v>
      </c>
      <c r="L14" s="400">
        <f t="shared" si="1"/>
        <v>3.4114323157451928E-2</v>
      </c>
      <c r="M14" s="400">
        <f t="shared" si="1"/>
        <v>7.1407468947404087E-2</v>
      </c>
      <c r="N14" s="400">
        <f t="shared" si="1"/>
        <v>0.12022901384408521</v>
      </c>
      <c r="O14" s="400">
        <f t="shared" si="1"/>
        <v>0.15127090900103418</v>
      </c>
      <c r="P14" s="400">
        <f>SUM(D14:O14)</f>
        <v>0.99999999999999978</v>
      </c>
    </row>
    <row r="15" spans="1:17">
      <c r="A15" s="40">
        <f t="shared" si="0"/>
        <v>6</v>
      </c>
      <c r="B15" s="39"/>
      <c r="C15" s="401"/>
      <c r="D15" s="402"/>
      <c r="E15" s="402"/>
      <c r="F15" s="402"/>
      <c r="G15" s="402"/>
      <c r="H15" s="402"/>
      <c r="I15" s="402"/>
      <c r="J15" s="402"/>
      <c r="K15" s="402"/>
      <c r="L15" s="402"/>
      <c r="M15" s="402"/>
      <c r="N15" s="402"/>
      <c r="O15" s="402"/>
      <c r="P15" s="402"/>
    </row>
    <row r="16" spans="1:17">
      <c r="A16" s="40">
        <f t="shared" si="0"/>
        <v>7</v>
      </c>
      <c r="B16" s="396" t="s">
        <v>144</v>
      </c>
      <c r="C16" s="402"/>
      <c r="D16" s="402"/>
      <c r="E16" s="402"/>
      <c r="F16" s="402"/>
      <c r="G16" s="402"/>
      <c r="H16" s="402"/>
      <c r="I16" s="402"/>
      <c r="J16" s="402"/>
      <c r="K16" s="402"/>
      <c r="L16" s="402"/>
      <c r="M16" s="402"/>
      <c r="N16" s="402"/>
      <c r="O16" s="402"/>
      <c r="P16" s="402"/>
    </row>
    <row r="17" spans="1:17">
      <c r="A17" s="40">
        <f t="shared" si="0"/>
        <v>8</v>
      </c>
      <c r="B17" s="39" t="s">
        <v>630</v>
      </c>
      <c r="C17" s="40" t="s">
        <v>35</v>
      </c>
      <c r="D17" s="397">
        <v>39772898.714791901</v>
      </c>
      <c r="E17" s="397">
        <v>37019925.887171499</v>
      </c>
      <c r="F17" s="397">
        <v>33291578.179340295</v>
      </c>
      <c r="G17" s="397">
        <v>25546855.082238201</v>
      </c>
      <c r="H17" s="397">
        <v>19126648.7410875</v>
      </c>
      <c r="I17" s="397">
        <v>14823180.41301653</v>
      </c>
      <c r="J17" s="397">
        <v>13263985.262306171</v>
      </c>
      <c r="K17" s="397">
        <v>12496754.025206828</v>
      </c>
      <c r="L17" s="397">
        <v>13836050.33699036</v>
      </c>
      <c r="M17" s="397">
        <v>21770851.407572884</v>
      </c>
      <c r="N17" s="397">
        <v>32673022.5188515</v>
      </c>
      <c r="O17" s="397">
        <v>40401871.814835802</v>
      </c>
      <c r="P17" s="398">
        <f>SUM(D17:O17)</f>
        <v>304023622.3834095</v>
      </c>
      <c r="Q17" s="267"/>
    </row>
    <row r="18" spans="1:17">
      <c r="A18" s="40">
        <f t="shared" si="0"/>
        <v>9</v>
      </c>
      <c r="B18" s="39" t="s">
        <v>631</v>
      </c>
      <c r="C18" s="171" t="s">
        <v>633</v>
      </c>
      <c r="D18" s="403">
        <f t="shared" ref="D18:O18" si="2">D17/$P17</f>
        <v>0.13082173813662942</v>
      </c>
      <c r="E18" s="403">
        <f t="shared" si="2"/>
        <v>0.1217666100974385</v>
      </c>
      <c r="F18" s="403">
        <f t="shared" si="2"/>
        <v>0.10950326135301323</v>
      </c>
      <c r="G18" s="403">
        <f t="shared" si="2"/>
        <v>8.4029178002558685E-2</v>
      </c>
      <c r="H18" s="403">
        <f t="shared" si="2"/>
        <v>6.2911719132688143E-2</v>
      </c>
      <c r="I18" s="403">
        <f t="shared" si="2"/>
        <v>4.8756673237459025E-2</v>
      </c>
      <c r="J18" s="403">
        <f t="shared" si="2"/>
        <v>4.3628140334367592E-2</v>
      </c>
      <c r="K18" s="403">
        <f t="shared" si="2"/>
        <v>4.11045494663798E-2</v>
      </c>
      <c r="L18" s="403">
        <f t="shared" si="2"/>
        <v>4.5509787129440475E-2</v>
      </c>
      <c r="M18" s="403">
        <f t="shared" si="2"/>
        <v>7.1609078389695921E-2</v>
      </c>
      <c r="N18" s="403">
        <f t="shared" si="2"/>
        <v>0.10746869688187249</v>
      </c>
      <c r="O18" s="403">
        <f t="shared" si="2"/>
        <v>0.13289056783845662</v>
      </c>
      <c r="P18" s="403">
        <f>SUM(D18:O18)</f>
        <v>0.99999999999999978</v>
      </c>
    </row>
    <row r="19" spans="1:17">
      <c r="A19" s="40">
        <f t="shared" si="0"/>
        <v>10</v>
      </c>
      <c r="B19" s="39"/>
      <c r="C19" s="40"/>
      <c r="D19" s="395"/>
      <c r="E19" s="395"/>
      <c r="F19" s="395"/>
      <c r="G19" s="395"/>
      <c r="H19" s="395"/>
      <c r="I19" s="395"/>
      <c r="J19" s="395"/>
      <c r="K19" s="395"/>
      <c r="L19" s="395"/>
      <c r="M19" s="395"/>
      <c r="N19" s="395"/>
      <c r="O19" s="395"/>
      <c r="P19" s="395"/>
    </row>
    <row r="20" spans="1:17">
      <c r="A20" s="40">
        <f t="shared" si="0"/>
        <v>11</v>
      </c>
      <c r="B20" s="394" t="s">
        <v>634</v>
      </c>
      <c r="C20" s="40"/>
      <c r="D20" s="395"/>
      <c r="E20" s="395"/>
      <c r="F20" s="395"/>
      <c r="G20" s="395"/>
      <c r="H20" s="395"/>
      <c r="I20" s="395"/>
      <c r="J20" s="395"/>
      <c r="K20" s="395"/>
      <c r="L20" s="395"/>
      <c r="M20" s="395"/>
      <c r="N20" s="395"/>
      <c r="O20" s="395"/>
      <c r="P20" s="395"/>
    </row>
    <row r="21" spans="1:17">
      <c r="A21" s="40">
        <f t="shared" si="0"/>
        <v>12</v>
      </c>
      <c r="B21" s="396" t="s">
        <v>28</v>
      </c>
      <c r="C21" s="40"/>
      <c r="D21" s="39"/>
      <c r="E21" s="39"/>
      <c r="F21" s="39"/>
      <c r="G21" s="39"/>
      <c r="H21" s="39"/>
      <c r="I21" s="39"/>
      <c r="J21" s="39"/>
      <c r="K21" s="39"/>
      <c r="L21" s="39"/>
      <c r="M21" s="39"/>
      <c r="N21" s="39"/>
      <c r="O21" s="39"/>
      <c r="P21" s="39"/>
    </row>
    <row r="22" spans="1:17">
      <c r="A22" s="40">
        <f t="shared" si="0"/>
        <v>13</v>
      </c>
      <c r="B22" s="39" t="s">
        <v>635</v>
      </c>
      <c r="C22" s="40"/>
      <c r="D22" s="39"/>
      <c r="E22" s="39"/>
      <c r="F22" s="39"/>
      <c r="G22" s="39"/>
      <c r="H22" s="39"/>
      <c r="I22" s="39"/>
      <c r="J22" s="39"/>
      <c r="K22" s="39"/>
      <c r="L22" s="39"/>
      <c r="M22" s="39"/>
      <c r="N22" s="39"/>
      <c r="O22" s="39"/>
      <c r="P22" s="406">
        <f>'JPG-4'!D14-'JPG-4'!D31</f>
        <v>288.91999999999996</v>
      </c>
    </row>
    <row r="23" spans="1:17">
      <c r="A23" s="40">
        <f t="shared" si="0"/>
        <v>14</v>
      </c>
      <c r="B23" s="39" t="s">
        <v>636</v>
      </c>
      <c r="C23" s="40" t="str">
        <f>"("&amp;A$14&amp;") x ("&amp;A22&amp;")"</f>
        <v>(5) x (13)</v>
      </c>
      <c r="D23" s="46">
        <f>$P22*D$14</f>
        <v>42.799182690487896</v>
      </c>
      <c r="E23" s="46">
        <f t="shared" ref="E23:N23" si="3">$P22*E$14</f>
        <v>39.70782616122748</v>
      </c>
      <c r="F23" s="46">
        <f t="shared" si="3"/>
        <v>33.714262864894437</v>
      </c>
      <c r="G23" s="46">
        <f t="shared" si="3"/>
        <v>24.112127958205001</v>
      </c>
      <c r="H23" s="46">
        <f t="shared" si="3"/>
        <v>15.095061563614649</v>
      </c>
      <c r="I23" s="46">
        <f t="shared" si="3"/>
        <v>9.7460302149585782</v>
      </c>
      <c r="J23" s="46">
        <f t="shared" si="3"/>
        <v>7.7017651249677312</v>
      </c>
      <c r="K23" s="46">
        <f t="shared" si="3"/>
        <v>7.1146295382972529</v>
      </c>
      <c r="L23" s="46">
        <f t="shared" si="3"/>
        <v>9.8563102466510095</v>
      </c>
      <c r="M23" s="46">
        <f t="shared" si="3"/>
        <v>20.631045928283985</v>
      </c>
      <c r="N23" s="46">
        <f t="shared" si="3"/>
        <v>34.736566679833096</v>
      </c>
      <c r="O23" s="46">
        <f>$P22*O$14</f>
        <v>43.705191028578788</v>
      </c>
      <c r="P23" s="404">
        <f>SUM(D23:O23)</f>
        <v>288.9199999999999</v>
      </c>
    </row>
    <row r="24" spans="1:17">
      <c r="A24" s="40">
        <f t="shared" si="0"/>
        <v>15</v>
      </c>
      <c r="B24" s="396"/>
      <c r="C24" s="40"/>
      <c r="D24" s="39"/>
      <c r="E24" s="39"/>
      <c r="F24" s="39"/>
      <c r="G24" s="39"/>
      <c r="H24" s="39"/>
      <c r="I24" s="39"/>
      <c r="J24" s="39"/>
      <c r="K24" s="39"/>
      <c r="L24" s="39"/>
      <c r="M24" s="39"/>
      <c r="N24" s="39"/>
      <c r="O24" s="39"/>
      <c r="P24" s="39"/>
    </row>
    <row r="25" spans="1:17">
      <c r="A25" s="40">
        <f t="shared" si="0"/>
        <v>16</v>
      </c>
      <c r="B25" s="39" t="s">
        <v>637</v>
      </c>
      <c r="C25" s="40"/>
      <c r="D25" s="39"/>
      <c r="E25" s="39"/>
      <c r="F25" s="39"/>
      <c r="G25" s="39"/>
      <c r="H25" s="39"/>
      <c r="I25" s="39"/>
      <c r="J25" s="39"/>
      <c r="K25" s="39"/>
      <c r="L25" s="39"/>
      <c r="M25" s="39"/>
      <c r="N25" s="39"/>
      <c r="O25" s="39"/>
      <c r="P25" s="406">
        <f>ROUND('JPG-4'!D14*'JPG-4'!D17,2)-'JPG-4'!D31</f>
        <v>298.02999999999997</v>
      </c>
    </row>
    <row r="26" spans="1:17">
      <c r="A26" s="40">
        <f t="shared" si="0"/>
        <v>17</v>
      </c>
      <c r="B26" s="39" t="s">
        <v>638</v>
      </c>
      <c r="C26" s="40" t="str">
        <f>"("&amp;A$14&amp;") x ("&amp;A25&amp;")"</f>
        <v>(5) x (16)</v>
      </c>
      <c r="D26" s="46">
        <f>$P25*D$14</f>
        <v>44.148693123515528</v>
      </c>
      <c r="E26" s="46">
        <f t="shared" ref="E26:N26" si="4">$P25*E$14</f>
        <v>40.959862352314225</v>
      </c>
      <c r="F26" s="46">
        <f t="shared" si="4"/>
        <v>34.777314694809952</v>
      </c>
      <c r="G26" s="46">
        <f t="shared" si="4"/>
        <v>24.872412762646537</v>
      </c>
      <c r="H26" s="46">
        <f t="shared" si="4"/>
        <v>15.571027266385414</v>
      </c>
      <c r="I26" s="46">
        <f t="shared" si="4"/>
        <v>10.053334435013518</v>
      </c>
      <c r="J26" s="46">
        <f t="shared" si="4"/>
        <v>7.9446111733148728</v>
      </c>
      <c r="K26" s="46">
        <f t="shared" si="4"/>
        <v>7.3389624854587101</v>
      </c>
      <c r="L26" s="46">
        <f t="shared" si="4"/>
        <v>10.167091730615397</v>
      </c>
      <c r="M26" s="46">
        <f t="shared" si="4"/>
        <v>21.281567970394839</v>
      </c>
      <c r="N26" s="46">
        <f t="shared" si="4"/>
        <v>35.831852995952715</v>
      </c>
      <c r="O26" s="46">
        <f>$P25*O$14</f>
        <v>45.08326900957821</v>
      </c>
      <c r="P26" s="404">
        <f>SUM(D26:O26)</f>
        <v>298.02999999999992</v>
      </c>
    </row>
    <row r="27" spans="1:17">
      <c r="A27" s="40">
        <f t="shared" si="0"/>
        <v>18</v>
      </c>
      <c r="B27" s="396"/>
      <c r="C27" s="40"/>
      <c r="D27" s="39"/>
      <c r="E27" s="39"/>
      <c r="F27" s="39"/>
      <c r="G27" s="39"/>
      <c r="H27" s="39"/>
      <c r="I27" s="39"/>
      <c r="J27" s="39"/>
      <c r="K27" s="39"/>
      <c r="L27" s="39"/>
      <c r="M27" s="39"/>
      <c r="N27" s="39"/>
      <c r="O27" s="39"/>
      <c r="P27" s="39"/>
    </row>
    <row r="28" spans="1:17">
      <c r="A28" s="40">
        <f t="shared" si="0"/>
        <v>19</v>
      </c>
      <c r="B28" s="39" t="s">
        <v>639</v>
      </c>
      <c r="C28" s="40" t="s">
        <v>640</v>
      </c>
      <c r="D28" s="39"/>
      <c r="E28" s="39"/>
      <c r="F28" s="39"/>
      <c r="G28" s="39"/>
      <c r="H28" s="39"/>
      <c r="I28" s="39"/>
      <c r="J28" s="39"/>
      <c r="K28" s="39"/>
      <c r="L28" s="39"/>
      <c r="M28" s="39"/>
      <c r="N28" s="39"/>
      <c r="O28" s="39"/>
      <c r="P28" s="404">
        <v>307.34000000000003</v>
      </c>
    </row>
    <row r="29" spans="1:17">
      <c r="A29" s="40">
        <f t="shared" si="0"/>
        <v>20</v>
      </c>
      <c r="B29" s="39" t="s">
        <v>641</v>
      </c>
      <c r="C29" s="40" t="str">
        <f>"("&amp;A$14&amp;") x ("&amp;A28&amp;")"</f>
        <v>(5) x (19)</v>
      </c>
      <c r="D29" s="46">
        <f>$P28*D$14</f>
        <v>45.527830569342903</v>
      </c>
      <c r="E29" s="46">
        <f t="shared" ref="E29:N29" si="5">$P28*E$14</f>
        <v>42.239385616750859</v>
      </c>
      <c r="F29" s="46">
        <f t="shared" si="5"/>
        <v>35.863704654910215</v>
      </c>
      <c r="G29" s="46">
        <f t="shared" si="5"/>
        <v>25.649388781236077</v>
      </c>
      <c r="H29" s="46">
        <f t="shared" si="5"/>
        <v>16.057442271083094</v>
      </c>
      <c r="I29" s="46">
        <f t="shared" si="5"/>
        <v>10.367385180206876</v>
      </c>
      <c r="J29" s="46">
        <f t="shared" si="5"/>
        <v>8.1927886387497679</v>
      </c>
      <c r="K29" s="46">
        <f t="shared" si="5"/>
        <v>7.568220414994733</v>
      </c>
      <c r="L29" s="46">
        <f t="shared" si="5"/>
        <v>10.484696079211277</v>
      </c>
      <c r="M29" s="46">
        <f t="shared" si="5"/>
        <v>21.946371506295176</v>
      </c>
      <c r="N29" s="46">
        <f t="shared" si="5"/>
        <v>36.951185114841152</v>
      </c>
      <c r="O29" s="46">
        <f>$P28*O$14</f>
        <v>46.491601172377848</v>
      </c>
      <c r="P29" s="404">
        <f>SUM(D29:O29)</f>
        <v>307.33999999999997</v>
      </c>
    </row>
    <row r="30" spans="1:17">
      <c r="A30" s="40">
        <f t="shared" si="0"/>
        <v>21</v>
      </c>
      <c r="B30" s="39"/>
      <c r="C30" s="405"/>
      <c r="D30" s="39"/>
      <c r="E30" s="39"/>
      <c r="F30" s="39"/>
      <c r="G30" s="39"/>
      <c r="H30" s="39"/>
      <c r="I30" s="39"/>
      <c r="J30" s="39"/>
      <c r="K30" s="39"/>
      <c r="L30" s="39"/>
      <c r="M30" s="39"/>
      <c r="N30" s="39"/>
      <c r="O30" s="39"/>
      <c r="P30" s="404"/>
    </row>
    <row r="31" spans="1:17">
      <c r="A31" s="40">
        <f t="shared" si="0"/>
        <v>22</v>
      </c>
      <c r="B31" s="39" t="s">
        <v>642</v>
      </c>
      <c r="C31" s="40" t="str">
        <f>$C$28</f>
        <v>JPG-4</v>
      </c>
      <c r="D31" s="39"/>
      <c r="E31" s="39"/>
      <c r="F31" s="39"/>
      <c r="G31" s="39"/>
      <c r="H31" s="39"/>
      <c r="I31" s="39"/>
      <c r="J31" s="39"/>
      <c r="K31" s="39"/>
      <c r="L31" s="39"/>
      <c r="M31" s="39"/>
      <c r="N31" s="39"/>
      <c r="O31" s="39"/>
      <c r="P31" s="404">
        <v>316.86</v>
      </c>
    </row>
    <row r="32" spans="1:17">
      <c r="A32" s="40">
        <f t="shared" si="0"/>
        <v>23</v>
      </c>
      <c r="B32" s="39" t="s">
        <v>643</v>
      </c>
      <c r="C32" s="40" t="str">
        <f>"("&amp;A$14&amp;") x ("&amp;A31&amp;")"</f>
        <v>(5) x (22)</v>
      </c>
      <c r="D32" s="46">
        <f>$P31*D$14</f>
        <v>46.938076378609985</v>
      </c>
      <c r="E32" s="46">
        <f t="shared" ref="E32:O32" si="6">$P31*E$14</f>
        <v>43.547770308204839</v>
      </c>
      <c r="F32" s="46">
        <f t="shared" si="6"/>
        <v>36.974599651704466</v>
      </c>
      <c r="G32" s="46">
        <f t="shared" si="6"/>
        <v>26.443890574681014</v>
      </c>
      <c r="H32" s="46">
        <f t="shared" si="6"/>
        <v>16.554829042804023</v>
      </c>
      <c r="I32" s="46">
        <f t="shared" si="6"/>
        <v>10.68851977679557</v>
      </c>
      <c r="J32" s="46">
        <f t="shared" si="6"/>
        <v>8.4465640921268026</v>
      </c>
      <c r="K32" s="46">
        <f t="shared" si="6"/>
        <v>7.8026495760240486</v>
      </c>
      <c r="L32" s="46">
        <f t="shared" si="6"/>
        <v>10.809464435670218</v>
      </c>
      <c r="M32" s="46">
        <f t="shared" si="6"/>
        <v>22.62617061067446</v>
      </c>
      <c r="N32" s="46">
        <f t="shared" si="6"/>
        <v>38.095765326636844</v>
      </c>
      <c r="O32" s="46">
        <f t="shared" si="6"/>
        <v>47.93170022606769</v>
      </c>
      <c r="P32" s="404">
        <f>SUM(D32:O32)</f>
        <v>316.8599999999999</v>
      </c>
    </row>
    <row r="33" spans="1:16">
      <c r="A33" s="40">
        <f t="shared" si="0"/>
        <v>24</v>
      </c>
      <c r="B33" s="39"/>
      <c r="C33" s="405"/>
      <c r="D33" s="39"/>
      <c r="E33" s="39"/>
      <c r="F33" s="39"/>
      <c r="G33" s="39"/>
      <c r="H33" s="39"/>
      <c r="I33" s="39"/>
      <c r="J33" s="39"/>
      <c r="K33" s="39"/>
      <c r="L33" s="39"/>
      <c r="M33" s="39"/>
      <c r="N33" s="39"/>
      <c r="O33" s="39"/>
      <c r="P33" s="404"/>
    </row>
    <row r="34" spans="1:16">
      <c r="A34" s="40">
        <f t="shared" si="0"/>
        <v>25</v>
      </c>
      <c r="B34" s="39" t="s">
        <v>644</v>
      </c>
      <c r="C34" s="40" t="str">
        <f>$C$28</f>
        <v>JPG-4</v>
      </c>
      <c r="D34" s="39"/>
      <c r="E34" s="39"/>
      <c r="F34" s="39"/>
      <c r="G34" s="39"/>
      <c r="H34" s="39"/>
      <c r="I34" s="39"/>
      <c r="J34" s="39"/>
      <c r="K34" s="39"/>
      <c r="L34" s="39"/>
      <c r="M34" s="39"/>
      <c r="N34" s="39"/>
      <c r="O34" s="39"/>
      <c r="P34" s="404">
        <v>326.59000000000003</v>
      </c>
    </row>
    <row r="35" spans="1:16">
      <c r="A35" s="40">
        <f t="shared" si="0"/>
        <v>26</v>
      </c>
      <c r="B35" s="39" t="s">
        <v>645</v>
      </c>
      <c r="C35" s="40" t="str">
        <f>"("&amp;A$14&amp;") x ("&amp;A34&amp;")"</f>
        <v>(5) x (25)</v>
      </c>
      <c r="D35" s="46">
        <f>$P34*D$14</f>
        <v>48.37943055131678</v>
      </c>
      <c r="E35" s="46">
        <f t="shared" ref="E35:O35" si="7">$P34*E$14</f>
        <v>44.885016426676195</v>
      </c>
      <c r="F35" s="46">
        <f t="shared" si="7"/>
        <v>38.109999685192712</v>
      </c>
      <c r="G35" s="46">
        <f t="shared" si="7"/>
        <v>27.255918142981358</v>
      </c>
      <c r="H35" s="46">
        <f t="shared" si="7"/>
        <v>17.063187581548213</v>
      </c>
      <c r="I35" s="46">
        <f t="shared" si="7"/>
        <v>11.016738224779603</v>
      </c>
      <c r="J35" s="46">
        <f t="shared" si="7"/>
        <v>8.7059375334459776</v>
      </c>
      <c r="K35" s="46">
        <f t="shared" si="7"/>
        <v>8.042249968546658</v>
      </c>
      <c r="L35" s="46">
        <f t="shared" si="7"/>
        <v>11.141396799992226</v>
      </c>
      <c r="M35" s="46">
        <f t="shared" si="7"/>
        <v>23.320965283532704</v>
      </c>
      <c r="N35" s="46">
        <f t="shared" si="7"/>
        <v>39.265593631339797</v>
      </c>
      <c r="O35" s="46">
        <f t="shared" si="7"/>
        <v>49.403566170647757</v>
      </c>
      <c r="P35" s="404">
        <f>SUM(D35:O35)</f>
        <v>326.59000000000003</v>
      </c>
    </row>
    <row r="36" spans="1:16">
      <c r="A36" s="40">
        <f t="shared" si="0"/>
        <v>27</v>
      </c>
      <c r="B36" s="39"/>
      <c r="C36" s="405"/>
      <c r="D36" s="39"/>
      <c r="E36" s="39"/>
      <c r="F36" s="39"/>
      <c r="G36" s="39"/>
      <c r="H36" s="39"/>
      <c r="I36" s="39"/>
      <c r="J36" s="39"/>
      <c r="K36" s="39"/>
      <c r="L36" s="39"/>
      <c r="M36" s="39"/>
      <c r="N36" s="39"/>
      <c r="O36" s="39"/>
      <c r="P36" s="404"/>
    </row>
    <row r="37" spans="1:16">
      <c r="A37" s="40">
        <f t="shared" si="0"/>
        <v>28</v>
      </c>
      <c r="B37" s="39" t="s">
        <v>646</v>
      </c>
      <c r="C37" s="40" t="str">
        <f>$C$28</f>
        <v>JPG-4</v>
      </c>
      <c r="D37" s="39"/>
      <c r="E37" s="39"/>
      <c r="F37" s="39"/>
      <c r="G37" s="39"/>
      <c r="H37" s="39"/>
      <c r="I37" s="39"/>
      <c r="J37" s="39"/>
      <c r="K37" s="39"/>
      <c r="L37" s="39"/>
      <c r="M37" s="39"/>
      <c r="N37" s="39"/>
      <c r="O37" s="39"/>
      <c r="P37" s="404">
        <v>336.53</v>
      </c>
    </row>
    <row r="38" spans="1:16">
      <c r="A38" s="40">
        <f t="shared" si="0"/>
        <v>29</v>
      </c>
      <c r="B38" s="39" t="s">
        <v>647</v>
      </c>
      <c r="C38" s="40" t="str">
        <f>"("&amp;A$14&amp;") x ("&amp;A37&amp;")"</f>
        <v>(5) x (28)</v>
      </c>
      <c r="D38" s="46">
        <f>$P37*D$14</f>
        <v>49.851893087463282</v>
      </c>
      <c r="E38" s="46">
        <f t="shared" ref="E38:O38" si="8">$P37*E$14</f>
        <v>46.251123972164905</v>
      </c>
      <c r="F38" s="46">
        <f t="shared" si="8"/>
        <v>39.269904755374938</v>
      </c>
      <c r="G38" s="46">
        <f t="shared" si="8"/>
        <v>28.085471486137095</v>
      </c>
      <c r="H38" s="46">
        <f t="shared" si="8"/>
        <v>17.582517887315653</v>
      </c>
      <c r="I38" s="46">
        <f t="shared" si="8"/>
        <v>11.352040524158975</v>
      </c>
      <c r="J38" s="46">
        <f t="shared" si="8"/>
        <v>8.9709089627072913</v>
      </c>
      <c r="K38" s="46">
        <f t="shared" si="8"/>
        <v>8.2870215925625601</v>
      </c>
      <c r="L38" s="46">
        <f t="shared" si="8"/>
        <v>11.480493172177297</v>
      </c>
      <c r="M38" s="46">
        <f t="shared" si="8"/>
        <v>24.030755524869896</v>
      </c>
      <c r="N38" s="46">
        <f t="shared" si="8"/>
        <v>40.460670028949991</v>
      </c>
      <c r="O38" s="46">
        <f t="shared" si="8"/>
        <v>50.907199006118027</v>
      </c>
      <c r="P38" s="404">
        <f>SUM(D38:O38)</f>
        <v>336.52999999999992</v>
      </c>
    </row>
    <row r="39" spans="1:16">
      <c r="A39" s="40">
        <f t="shared" si="0"/>
        <v>30</v>
      </c>
      <c r="B39" s="39"/>
      <c r="C39" s="405"/>
      <c r="D39" s="39"/>
      <c r="E39" s="39"/>
      <c r="F39" s="39"/>
      <c r="G39" s="39"/>
      <c r="H39" s="39"/>
      <c r="I39" s="39"/>
      <c r="J39" s="39"/>
      <c r="K39" s="39"/>
      <c r="L39" s="39"/>
      <c r="M39" s="39"/>
      <c r="N39" s="39"/>
      <c r="O39" s="39"/>
      <c r="P39" s="404"/>
    </row>
    <row r="40" spans="1:16">
      <c r="A40" s="40">
        <f t="shared" si="0"/>
        <v>31</v>
      </c>
      <c r="B40" s="396" t="s">
        <v>144</v>
      </c>
      <c r="C40" s="40"/>
      <c r="D40" s="39"/>
      <c r="E40" s="39"/>
      <c r="F40" s="39"/>
      <c r="G40" s="39"/>
      <c r="H40" s="39"/>
      <c r="I40" s="39"/>
      <c r="J40" s="39"/>
      <c r="K40" s="39"/>
      <c r="L40" s="39"/>
      <c r="M40" s="39"/>
      <c r="N40" s="39"/>
      <c r="O40" s="39"/>
      <c r="P40" s="404"/>
    </row>
    <row r="41" spans="1:16">
      <c r="A41" s="40">
        <f t="shared" si="0"/>
        <v>32</v>
      </c>
      <c r="B41" s="39" t="s">
        <v>635</v>
      </c>
      <c r="C41" s="40"/>
      <c r="D41" s="39"/>
      <c r="E41" s="39"/>
      <c r="F41" s="39"/>
      <c r="G41" s="39"/>
      <c r="H41" s="39"/>
      <c r="I41" s="39"/>
      <c r="J41" s="39"/>
      <c r="K41" s="39"/>
      <c r="L41" s="39"/>
      <c r="M41" s="39"/>
      <c r="N41" s="39"/>
      <c r="O41" s="39"/>
      <c r="P41" s="404">
        <v>1383.6000000000001</v>
      </c>
    </row>
    <row r="42" spans="1:16">
      <c r="A42" s="40">
        <f t="shared" si="0"/>
        <v>33</v>
      </c>
      <c r="B42" s="39" t="s">
        <v>636</v>
      </c>
      <c r="C42" s="40" t="str">
        <f>"("&amp;A$18&amp;") x ("&amp;A41&amp;")"</f>
        <v>(9) x (32)</v>
      </c>
      <c r="D42" s="46">
        <f>$P41*D$18</f>
        <v>181.0049568858405</v>
      </c>
      <c r="E42" s="46">
        <f t="shared" ref="E42:O42" si="9">$P41*E$18</f>
        <v>168.47628173081591</v>
      </c>
      <c r="F42" s="46">
        <f t="shared" si="9"/>
        <v>151.50871240802911</v>
      </c>
      <c r="G42" s="46">
        <f t="shared" si="9"/>
        <v>116.26277068434021</v>
      </c>
      <c r="H42" s="46">
        <f t="shared" si="9"/>
        <v>87.044654591987324</v>
      </c>
      <c r="I42" s="46">
        <f t="shared" si="9"/>
        <v>67.459733091348312</v>
      </c>
      <c r="J42" s="46">
        <f t="shared" si="9"/>
        <v>60.363894966631008</v>
      </c>
      <c r="K42" s="46">
        <f t="shared" si="9"/>
        <v>56.872254641683099</v>
      </c>
      <c r="L42" s="46">
        <f t="shared" si="9"/>
        <v>62.967341472293846</v>
      </c>
      <c r="M42" s="46">
        <f t="shared" si="9"/>
        <v>99.078320859983279</v>
      </c>
      <c r="N42" s="46">
        <f t="shared" si="9"/>
        <v>148.69368900575878</v>
      </c>
      <c r="O42" s="46">
        <f t="shared" si="9"/>
        <v>183.8673896612886</v>
      </c>
      <c r="P42" s="404">
        <f>SUM(D42:O42)</f>
        <v>1383.6000000000001</v>
      </c>
    </row>
    <row r="43" spans="1:16">
      <c r="A43" s="40">
        <f t="shared" si="0"/>
        <v>34</v>
      </c>
      <c r="B43" s="396"/>
      <c r="C43" s="405"/>
      <c r="D43" s="39"/>
      <c r="E43" s="39"/>
      <c r="F43" s="39"/>
      <c r="G43" s="39"/>
      <c r="H43" s="39"/>
      <c r="I43" s="39"/>
      <c r="J43" s="39"/>
      <c r="K43" s="39"/>
      <c r="L43" s="39"/>
      <c r="M43" s="39"/>
      <c r="N43" s="39"/>
      <c r="O43" s="39"/>
      <c r="P43" s="404"/>
    </row>
    <row r="44" spans="1:16">
      <c r="A44" s="40">
        <f t="shared" si="0"/>
        <v>35</v>
      </c>
      <c r="B44" s="39" t="s">
        <v>637</v>
      </c>
      <c r="C44" s="40"/>
      <c r="D44" s="39"/>
      <c r="E44" s="39"/>
      <c r="F44" s="39"/>
      <c r="G44" s="39"/>
      <c r="H44" s="39"/>
      <c r="I44" s="39"/>
      <c r="J44" s="39"/>
      <c r="K44" s="39"/>
      <c r="L44" s="39"/>
      <c r="M44" s="39"/>
      <c r="N44" s="39"/>
      <c r="O44" s="39"/>
      <c r="P44" s="417">
        <v>1635.3899999999999</v>
      </c>
    </row>
    <row r="45" spans="1:16">
      <c r="A45" s="40">
        <f t="shared" si="0"/>
        <v>36</v>
      </c>
      <c r="B45" s="39" t="s">
        <v>638</v>
      </c>
      <c r="C45" s="40" t="str">
        <f>"("&amp;A$18&amp;") x ("&amp;A44&amp;")"</f>
        <v>(9) x (35)</v>
      </c>
      <c r="D45" s="418">
        <v>188.17105860278451</v>
      </c>
      <c r="E45" s="418">
        <v>176.71811559515507</v>
      </c>
      <c r="F45" s="418">
        <v>169.9548641078523</v>
      </c>
      <c r="G45" s="418">
        <v>140.10427365207784</v>
      </c>
      <c r="H45" s="418">
        <v>117.10936250205478</v>
      </c>
      <c r="I45" s="418">
        <v>94.95696249772422</v>
      </c>
      <c r="J45" s="418">
        <v>88.081986754329336</v>
      </c>
      <c r="K45" s="418">
        <v>89.648972821219488</v>
      </c>
      <c r="L45" s="418">
        <v>94.365298082664538</v>
      </c>
      <c r="M45" s="418">
        <v>126.87827548544313</v>
      </c>
      <c r="N45" s="418">
        <v>161.06934267310112</v>
      </c>
      <c r="O45" s="418">
        <v>188.33148722559363</v>
      </c>
      <c r="P45" s="404">
        <f>SUM(D45:O45)</f>
        <v>1635.39</v>
      </c>
    </row>
    <row r="46" spans="1:16">
      <c r="A46" s="40">
        <f t="shared" si="0"/>
        <v>37</v>
      </c>
      <c r="B46" s="396"/>
      <c r="C46" s="40"/>
      <c r="D46" s="39"/>
      <c r="E46" s="39"/>
      <c r="F46" s="39"/>
      <c r="G46" s="39"/>
      <c r="H46" s="39"/>
      <c r="I46" s="39"/>
      <c r="J46" s="39"/>
      <c r="K46" s="39"/>
      <c r="L46" s="39"/>
      <c r="M46" s="39"/>
      <c r="N46" s="39"/>
      <c r="O46" s="39"/>
      <c r="P46" s="404"/>
    </row>
    <row r="47" spans="1:16">
      <c r="A47" s="40">
        <f t="shared" si="0"/>
        <v>38</v>
      </c>
      <c r="B47" s="39" t="s">
        <v>639</v>
      </c>
      <c r="C47" s="40" t="str">
        <f>$C$28</f>
        <v>JPG-4</v>
      </c>
      <c r="D47" s="39"/>
      <c r="E47" s="39"/>
      <c r="F47" s="39"/>
      <c r="G47" s="39"/>
      <c r="H47" s="39"/>
      <c r="I47" s="39"/>
      <c r="J47" s="39"/>
      <c r="K47" s="39"/>
      <c r="L47" s="39"/>
      <c r="M47" s="39"/>
      <c r="N47" s="39"/>
      <c r="O47" s="39"/>
      <c r="P47" s="404">
        <v>1467.69</v>
      </c>
    </row>
    <row r="48" spans="1:16">
      <c r="A48" s="40">
        <f t="shared" si="0"/>
        <v>39</v>
      </c>
      <c r="B48" s="39" t="s">
        <v>641</v>
      </c>
      <c r="C48" s="40" t="str">
        <f>"("&amp;A$18&amp;") x ("&amp;A47&amp;")"</f>
        <v>(9) x (38)</v>
      </c>
      <c r="D48" s="46">
        <f>$P47*D$18</f>
        <v>192.00575684574966</v>
      </c>
      <c r="E48" s="46">
        <f t="shared" ref="E48:O48" si="10">$P47*E$18</f>
        <v>178.71563597390951</v>
      </c>
      <c r="F48" s="46">
        <f t="shared" si="10"/>
        <v>160.71684165520401</v>
      </c>
      <c r="G48" s="46">
        <f t="shared" si="10"/>
        <v>123.32878426257537</v>
      </c>
      <c r="H48" s="46">
        <f t="shared" si="10"/>
        <v>92.334901053855063</v>
      </c>
      <c r="I48" s="46">
        <f t="shared" si="10"/>
        <v>71.559681743886244</v>
      </c>
      <c r="J48" s="46">
        <f t="shared" si="10"/>
        <v>64.03258528734797</v>
      </c>
      <c r="K48" s="46">
        <f t="shared" si="10"/>
        <v>60.328736206310971</v>
      </c>
      <c r="L48" s="46">
        <f t="shared" si="10"/>
        <v>66.794259472008491</v>
      </c>
      <c r="M48" s="46">
        <f t="shared" si="10"/>
        <v>105.09992826177282</v>
      </c>
      <c r="N48" s="46">
        <f t="shared" si="10"/>
        <v>157.73073172655543</v>
      </c>
      <c r="O48" s="46">
        <f t="shared" si="10"/>
        <v>195.04215751082441</v>
      </c>
      <c r="P48" s="404">
        <f>SUM(D48:O48)</f>
        <v>1467.69</v>
      </c>
    </row>
    <row r="49" spans="1:16">
      <c r="A49" s="40">
        <f t="shared" si="0"/>
        <v>40</v>
      </c>
      <c r="B49" s="39"/>
      <c r="C49" s="405"/>
      <c r="D49" s="40"/>
      <c r="E49" s="40"/>
      <c r="F49" s="40"/>
      <c r="G49" s="40"/>
      <c r="H49" s="39"/>
      <c r="I49" s="39"/>
      <c r="J49" s="39"/>
      <c r="K49" s="39"/>
      <c r="L49" s="39"/>
      <c r="M49" s="39"/>
      <c r="N49" s="39"/>
      <c r="O49" s="39"/>
      <c r="P49" s="404"/>
    </row>
    <row r="50" spans="1:16">
      <c r="A50" s="40">
        <f t="shared" si="0"/>
        <v>41</v>
      </c>
      <c r="B50" s="39" t="s">
        <v>642</v>
      </c>
      <c r="C50" s="40" t="str">
        <f>$C$28</f>
        <v>JPG-4</v>
      </c>
      <c r="D50" s="39"/>
      <c r="E50" s="39"/>
      <c r="F50" s="39"/>
      <c r="G50" s="39"/>
      <c r="H50" s="39"/>
      <c r="I50" s="39"/>
      <c r="J50" s="39"/>
      <c r="K50" s="39"/>
      <c r="L50" s="39"/>
      <c r="M50" s="39"/>
      <c r="N50" s="39"/>
      <c r="O50" s="39"/>
      <c r="P50" s="404">
        <v>1511.13</v>
      </c>
    </row>
    <row r="51" spans="1:16">
      <c r="A51" s="40">
        <f t="shared" si="0"/>
        <v>42</v>
      </c>
      <c r="B51" s="39" t="s">
        <v>643</v>
      </c>
      <c r="C51" s="40" t="str">
        <f>"("&amp;A$18&amp;") x ("&amp;A50&amp;")"</f>
        <v>(9) x (41)</v>
      </c>
      <c r="D51" s="46">
        <f>$P50*D$18</f>
        <v>197.68865315040483</v>
      </c>
      <c r="E51" s="46">
        <f t="shared" ref="E51:O51" si="11">$P50*E$18</f>
        <v>184.00517751654226</v>
      </c>
      <c r="F51" s="46">
        <f t="shared" si="11"/>
        <v>165.4736633283789</v>
      </c>
      <c r="G51" s="46">
        <f t="shared" si="11"/>
        <v>126.97901175500651</v>
      </c>
      <c r="H51" s="46">
        <f t="shared" si="11"/>
        <v>95.067786132979037</v>
      </c>
      <c r="I51" s="46">
        <f t="shared" si="11"/>
        <v>73.677671629321466</v>
      </c>
      <c r="J51" s="46">
        <f t="shared" si="11"/>
        <v>65.927791703472906</v>
      </c>
      <c r="K51" s="46">
        <f t="shared" si="11"/>
        <v>62.114317835130514</v>
      </c>
      <c r="L51" s="46">
        <f t="shared" si="11"/>
        <v>68.771204624911391</v>
      </c>
      <c r="M51" s="46">
        <f t="shared" si="11"/>
        <v>108.2106266270212</v>
      </c>
      <c r="N51" s="46">
        <f t="shared" si="11"/>
        <v>162.39917191910399</v>
      </c>
      <c r="O51" s="46">
        <f t="shared" si="11"/>
        <v>200.81492377772696</v>
      </c>
      <c r="P51" s="404">
        <f>SUM(D51:O51)</f>
        <v>1511.1299999999997</v>
      </c>
    </row>
    <row r="52" spans="1:16">
      <c r="A52" s="40">
        <f t="shared" si="0"/>
        <v>43</v>
      </c>
      <c r="B52" s="39"/>
      <c r="C52" s="405"/>
      <c r="D52" s="40"/>
      <c r="E52" s="40"/>
      <c r="F52" s="40"/>
      <c r="G52" s="40"/>
      <c r="H52" s="39"/>
      <c r="I52" s="39"/>
      <c r="J52" s="39"/>
      <c r="K52" s="39"/>
      <c r="L52" s="39"/>
      <c r="M52" s="39"/>
      <c r="N52" s="39"/>
      <c r="O52" s="39"/>
      <c r="P52" s="404"/>
    </row>
    <row r="53" spans="1:16">
      <c r="A53" s="40">
        <f t="shared" si="0"/>
        <v>44</v>
      </c>
      <c r="B53" s="39" t="s">
        <v>644</v>
      </c>
      <c r="C53" s="40" t="str">
        <f>$C$28</f>
        <v>JPG-4</v>
      </c>
      <c r="D53" s="39"/>
      <c r="E53" s="39"/>
      <c r="F53" s="39"/>
      <c r="G53" s="39"/>
      <c r="H53" s="39"/>
      <c r="I53" s="39"/>
      <c r="J53" s="39"/>
      <c r="K53" s="39"/>
      <c r="L53" s="39"/>
      <c r="M53" s="39"/>
      <c r="N53" s="39"/>
      <c r="O53" s="39"/>
      <c r="P53" s="404">
        <v>1555.5200000000002</v>
      </c>
    </row>
    <row r="54" spans="1:16">
      <c r="A54" s="40">
        <f t="shared" si="0"/>
        <v>45</v>
      </c>
      <c r="B54" s="39" t="s">
        <v>645</v>
      </c>
      <c r="C54" s="40" t="str">
        <f>"("&amp;A$18&amp;") x ("&amp;A53&amp;")"</f>
        <v>(9) x (44)</v>
      </c>
      <c r="D54" s="46">
        <f>$P53*D$18</f>
        <v>203.49583010628982</v>
      </c>
      <c r="E54" s="46">
        <f t="shared" ref="E54:O54" si="12">$P53*E$18</f>
        <v>189.41039733876755</v>
      </c>
      <c r="F54" s="46">
        <f t="shared" si="12"/>
        <v>170.33451309983917</v>
      </c>
      <c r="G54" s="46">
        <f t="shared" si="12"/>
        <v>130.70906696654009</v>
      </c>
      <c r="H54" s="46">
        <f t="shared" si="12"/>
        <v>97.860437345279067</v>
      </c>
      <c r="I54" s="46">
        <f t="shared" si="12"/>
        <v>75.841980354332279</v>
      </c>
      <c r="J54" s="46">
        <f t="shared" si="12"/>
        <v>67.864444852915483</v>
      </c>
      <c r="K54" s="46">
        <f t="shared" si="12"/>
        <v>63.938948785943118</v>
      </c>
      <c r="L54" s="46">
        <f t="shared" si="12"/>
        <v>70.79138407558726</v>
      </c>
      <c r="M54" s="46">
        <f t="shared" si="12"/>
        <v>111.38935361673981</v>
      </c>
      <c r="N54" s="46">
        <f t="shared" si="12"/>
        <v>167.16970737369033</v>
      </c>
      <c r="O54" s="46">
        <f t="shared" si="12"/>
        <v>206.71393608407607</v>
      </c>
      <c r="P54" s="404">
        <f>SUM(D54:O54)</f>
        <v>1555.5199999999998</v>
      </c>
    </row>
    <row r="55" spans="1:16">
      <c r="A55" s="40">
        <f t="shared" si="0"/>
        <v>46</v>
      </c>
      <c r="B55" s="39"/>
      <c r="C55" s="405"/>
      <c r="D55" s="40"/>
      <c r="E55" s="40"/>
      <c r="F55" s="40"/>
      <c r="G55" s="40"/>
      <c r="H55" s="39"/>
      <c r="I55" s="39"/>
      <c r="J55" s="39"/>
      <c r="K55" s="39"/>
      <c r="L55" s="39"/>
      <c r="M55" s="39"/>
      <c r="N55" s="39"/>
      <c r="O55" s="39"/>
      <c r="P55" s="404"/>
    </row>
    <row r="56" spans="1:16">
      <c r="A56" s="40">
        <f t="shared" si="0"/>
        <v>47</v>
      </c>
      <c r="B56" s="39" t="s">
        <v>646</v>
      </c>
      <c r="C56" s="40" t="str">
        <f>$C$28</f>
        <v>JPG-4</v>
      </c>
      <c r="D56" s="39"/>
      <c r="E56" s="39"/>
      <c r="F56" s="39"/>
      <c r="G56" s="39"/>
      <c r="H56" s="39"/>
      <c r="I56" s="39"/>
      <c r="J56" s="39"/>
      <c r="K56" s="39"/>
      <c r="L56" s="39"/>
      <c r="M56" s="39"/>
      <c r="N56" s="39"/>
      <c r="O56" s="39"/>
      <c r="P56" s="404">
        <v>1600.89</v>
      </c>
    </row>
    <row r="57" spans="1:16">
      <c r="A57" s="40">
        <f t="shared" si="0"/>
        <v>48</v>
      </c>
      <c r="B57" s="39" t="s">
        <v>647</v>
      </c>
      <c r="C57" s="40" t="str">
        <f>"("&amp;A$18&amp;") x ("&amp;A56&amp;")"</f>
        <v>(9) x (47)</v>
      </c>
      <c r="D57" s="46">
        <f>$P56*D$18</f>
        <v>209.4312123655487</v>
      </c>
      <c r="E57" s="46">
        <f t="shared" ref="E57:O57" si="13">$P56*E$18</f>
        <v>194.93494843888834</v>
      </c>
      <c r="F57" s="46">
        <f t="shared" si="13"/>
        <v>175.30267606742538</v>
      </c>
      <c r="G57" s="46">
        <f t="shared" si="13"/>
        <v>134.52147077251618</v>
      </c>
      <c r="H57" s="46">
        <f t="shared" si="13"/>
        <v>100.71474204232912</v>
      </c>
      <c r="I57" s="46">
        <f t="shared" si="13"/>
        <v>78.054070619115777</v>
      </c>
      <c r="J57" s="46">
        <f t="shared" si="13"/>
        <v>69.843853579885732</v>
      </c>
      <c r="K57" s="46">
        <f t="shared" si="13"/>
        <v>65.803862195232767</v>
      </c>
      <c r="L57" s="46">
        <f t="shared" si="13"/>
        <v>72.85616311764997</v>
      </c>
      <c r="M57" s="46">
        <f t="shared" si="13"/>
        <v>114.63825750328031</v>
      </c>
      <c r="N57" s="46">
        <f t="shared" si="13"/>
        <v>172.04556215122088</v>
      </c>
      <c r="O57" s="46">
        <f t="shared" si="13"/>
        <v>212.74318114690684</v>
      </c>
      <c r="P57" s="404">
        <f>SUM(D57:O57)</f>
        <v>1600.8899999999999</v>
      </c>
    </row>
    <row r="58" spans="1:16">
      <c r="A58" s="40">
        <f t="shared" si="0"/>
        <v>49</v>
      </c>
      <c r="B58" s="39"/>
      <c r="C58" s="40"/>
      <c r="D58" s="40"/>
      <c r="E58" s="40"/>
      <c r="F58" s="40"/>
      <c r="G58" s="40"/>
      <c r="H58" s="39"/>
      <c r="I58" s="39"/>
      <c r="J58" s="39"/>
      <c r="K58" s="39"/>
      <c r="L58" s="39"/>
      <c r="M58" s="39"/>
      <c r="N58" s="39"/>
      <c r="O58" s="39"/>
      <c r="P58" s="39"/>
    </row>
    <row r="59" spans="1:16" ht="14">
      <c r="A59" s="40">
        <f t="shared" si="0"/>
        <v>50</v>
      </c>
      <c r="B59" s="45" t="s">
        <v>613</v>
      </c>
      <c r="C59" s="40"/>
      <c r="D59" s="40"/>
      <c r="E59" s="40"/>
      <c r="F59" s="40"/>
      <c r="G59" s="40"/>
      <c r="H59" s="39"/>
      <c r="I59" s="39"/>
      <c r="J59" s="39"/>
      <c r="K59" s="39"/>
      <c r="L59" s="39"/>
      <c r="M59" s="39"/>
      <c r="N59" s="39"/>
      <c r="O59" s="39"/>
      <c r="P59" s="39"/>
    </row>
    <row r="64" spans="1:16" ht="14">
      <c r="C64" s="316"/>
      <c r="D64" s="316"/>
      <c r="E64" s="316"/>
      <c r="F64" s="316"/>
      <c r="G64" s="316"/>
      <c r="I64" s="33"/>
      <c r="J64" s="33"/>
      <c r="K64" s="33"/>
      <c r="L64" s="33"/>
      <c r="M64" s="33"/>
      <c r="N64" s="33"/>
    </row>
    <row r="65" spans="3:14" ht="14">
      <c r="C65" s="316"/>
      <c r="D65" s="316"/>
      <c r="E65" s="316"/>
      <c r="F65" s="316"/>
      <c r="G65" s="316"/>
      <c r="I65" s="33"/>
      <c r="J65" s="33"/>
      <c r="K65" s="33"/>
      <c r="L65" s="33"/>
      <c r="M65" s="33"/>
      <c r="N65" s="33"/>
    </row>
    <row r="66" spans="3:14" ht="14">
      <c r="C66" s="316"/>
      <c r="D66" s="316"/>
      <c r="E66" s="316"/>
      <c r="F66" s="316"/>
      <c r="G66" s="316"/>
      <c r="I66" s="33"/>
      <c r="J66" s="33"/>
      <c r="K66" s="33"/>
      <c r="L66" s="33"/>
      <c r="M66" s="33"/>
      <c r="N66" s="33"/>
    </row>
    <row r="67" spans="3:14" ht="14">
      <c r="C67" s="316"/>
      <c r="D67" s="316"/>
      <c r="E67" s="316"/>
      <c r="F67" s="316"/>
      <c r="G67" s="316"/>
      <c r="I67" s="33"/>
      <c r="J67" s="33"/>
      <c r="K67" s="33"/>
      <c r="L67" s="33"/>
      <c r="M67" s="33"/>
      <c r="N67" s="33"/>
    </row>
    <row r="68" spans="3:14" ht="14">
      <c r="C68" s="316"/>
      <c r="D68" s="316"/>
      <c r="E68" s="316"/>
      <c r="F68" s="316"/>
      <c r="G68" s="316"/>
      <c r="I68" s="33"/>
      <c r="J68" s="33"/>
      <c r="K68" s="33"/>
      <c r="L68" s="33"/>
      <c r="M68" s="33"/>
      <c r="N68" s="33"/>
    </row>
    <row r="69" spans="3:14" ht="14">
      <c r="C69" s="316"/>
      <c r="D69" s="316"/>
      <c r="E69" s="316"/>
      <c r="F69" s="316"/>
      <c r="G69" s="316"/>
      <c r="I69" s="33"/>
      <c r="J69" s="33"/>
      <c r="K69" s="33"/>
      <c r="L69" s="33"/>
      <c r="M69" s="33"/>
      <c r="N69" s="33"/>
    </row>
    <row r="70" spans="3:14" ht="14">
      <c r="C70" s="316"/>
      <c r="D70" s="316"/>
      <c r="E70" s="316"/>
      <c r="F70" s="316"/>
      <c r="G70" s="316"/>
      <c r="I70" s="33"/>
      <c r="J70" s="33"/>
      <c r="K70" s="33"/>
      <c r="L70" s="33"/>
      <c r="M70" s="33"/>
      <c r="N70" s="33"/>
    </row>
    <row r="71" spans="3:14" ht="14">
      <c r="C71" s="316"/>
      <c r="D71" s="316"/>
      <c r="E71" s="316"/>
      <c r="F71" s="316"/>
      <c r="G71" s="316"/>
      <c r="I71" s="33"/>
      <c r="J71" s="33"/>
      <c r="K71" s="33"/>
      <c r="L71" s="33"/>
      <c r="M71" s="33"/>
      <c r="N71" s="33"/>
    </row>
    <row r="72" spans="3:14" ht="14">
      <c r="C72" s="316"/>
      <c r="D72" s="316"/>
      <c r="E72" s="316"/>
      <c r="F72" s="316"/>
      <c r="G72" s="316"/>
      <c r="I72" s="33"/>
      <c r="J72" s="33"/>
      <c r="K72" s="33"/>
      <c r="L72" s="33"/>
      <c r="M72" s="33"/>
      <c r="N72" s="33"/>
    </row>
    <row r="73" spans="3:14" ht="14">
      <c r="C73" s="316"/>
      <c r="D73" s="316"/>
      <c r="E73" s="316"/>
      <c r="F73" s="316"/>
      <c r="G73" s="316"/>
      <c r="I73" s="33"/>
      <c r="J73" s="33"/>
      <c r="K73" s="33"/>
      <c r="L73" s="33"/>
      <c r="M73" s="33"/>
      <c r="N73" s="33"/>
    </row>
    <row r="74" spans="3:14" ht="14">
      <c r="C74" s="316"/>
      <c r="D74" s="316"/>
      <c r="E74" s="316"/>
      <c r="F74" s="316"/>
      <c r="G74" s="316"/>
      <c r="I74" s="33"/>
      <c r="J74" s="33"/>
      <c r="K74" s="33"/>
      <c r="L74" s="33"/>
      <c r="M74" s="33"/>
      <c r="N74" s="33"/>
    </row>
    <row r="75" spans="3:14" ht="14">
      <c r="C75" s="316"/>
      <c r="D75" s="316"/>
      <c r="E75" s="316"/>
      <c r="F75" s="316"/>
      <c r="G75" s="316"/>
      <c r="I75" s="33"/>
      <c r="J75" s="33"/>
      <c r="K75" s="33"/>
      <c r="L75" s="33"/>
      <c r="M75" s="33"/>
      <c r="N75" s="33"/>
    </row>
  </sheetData>
  <mergeCells count="5">
    <mergeCell ref="A1:P1"/>
    <mergeCell ref="A2:P2"/>
    <mergeCell ref="A3:P3"/>
    <mergeCell ref="A4:P4"/>
    <mergeCell ref="A5:P5"/>
  </mergeCells>
  <printOptions horizontalCentered="1"/>
  <pageMargins left="0.7" right="0.7" top="0.75" bottom="0.75" header="0.3" footer="0.3"/>
  <pageSetup scale="49" orientation="landscape" blackAndWhite="1"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N47"/>
  <sheetViews>
    <sheetView view="pageLayout" zoomScale="75" zoomScaleNormal="50" zoomScalePageLayoutView="75" workbookViewId="0">
      <selection activeCell="I68" sqref="I68"/>
    </sheetView>
  </sheetViews>
  <sheetFormatPr baseColWidth="10" defaultColWidth="8.83203125" defaultRowHeight="15"/>
  <cols>
    <col min="2" max="14" width="11.5" bestFit="1" customWidth="1"/>
  </cols>
  <sheetData>
    <row r="1" spans="1:14">
      <c r="A1" s="555" t="s">
        <v>240</v>
      </c>
      <c r="B1" s="556">
        <v>40725</v>
      </c>
      <c r="C1" s="557">
        <v>40756</v>
      </c>
      <c r="D1" s="557">
        <v>40787</v>
      </c>
      <c r="E1" s="557">
        <v>40817</v>
      </c>
      <c r="F1" s="557">
        <v>40848</v>
      </c>
      <c r="G1" s="557">
        <v>40878</v>
      </c>
      <c r="H1" s="557">
        <v>40909</v>
      </c>
      <c r="I1" s="557">
        <v>40940</v>
      </c>
      <c r="J1" s="557">
        <v>40969</v>
      </c>
      <c r="K1" s="557">
        <v>41000</v>
      </c>
      <c r="L1" s="557">
        <v>41030</v>
      </c>
      <c r="M1" s="558">
        <v>41061</v>
      </c>
      <c r="N1" s="559" t="s">
        <v>247</v>
      </c>
    </row>
    <row r="2" spans="1:14">
      <c r="A2" s="555" t="s">
        <v>648</v>
      </c>
      <c r="B2" s="560">
        <v>2</v>
      </c>
      <c r="C2" s="561">
        <v>2</v>
      </c>
      <c r="D2" s="561">
        <v>2</v>
      </c>
      <c r="E2" s="561">
        <v>2</v>
      </c>
      <c r="F2" s="561">
        <v>2</v>
      </c>
      <c r="G2" s="561">
        <v>3</v>
      </c>
      <c r="H2" s="562">
        <v>2</v>
      </c>
      <c r="I2" s="561">
        <v>1</v>
      </c>
      <c r="J2" s="561">
        <v>2</v>
      </c>
      <c r="K2" s="561">
        <v>1</v>
      </c>
      <c r="L2" s="561">
        <v>2</v>
      </c>
      <c r="M2" s="563">
        <v>2</v>
      </c>
      <c r="N2" s="564">
        <v>1.9166666666666667</v>
      </c>
    </row>
    <row r="3" spans="1:14">
      <c r="A3" s="565" t="s">
        <v>649</v>
      </c>
      <c r="B3" s="566">
        <v>691254</v>
      </c>
      <c r="C3" s="567">
        <v>691276</v>
      </c>
      <c r="D3" s="567">
        <v>691574</v>
      </c>
      <c r="E3" s="567">
        <v>692910</v>
      </c>
      <c r="F3" s="567">
        <v>694683</v>
      </c>
      <c r="G3" s="567">
        <v>696239</v>
      </c>
      <c r="H3" s="568">
        <v>697465</v>
      </c>
      <c r="I3" s="567">
        <v>698495</v>
      </c>
      <c r="J3" s="567">
        <v>698866</v>
      </c>
      <c r="K3" s="567">
        <v>699023</v>
      </c>
      <c r="L3" s="567">
        <v>698510</v>
      </c>
      <c r="M3" s="569">
        <v>698190</v>
      </c>
      <c r="N3" s="564">
        <v>695707.08333333337</v>
      </c>
    </row>
    <row r="4" spans="1:14">
      <c r="A4" s="565" t="s">
        <v>650</v>
      </c>
      <c r="B4" s="566">
        <v>738</v>
      </c>
      <c r="C4" s="567">
        <v>743</v>
      </c>
      <c r="D4" s="567">
        <v>748</v>
      </c>
      <c r="E4" s="567">
        <v>749</v>
      </c>
      <c r="F4" s="567">
        <v>759</v>
      </c>
      <c r="G4" s="567">
        <v>767</v>
      </c>
      <c r="H4" s="568">
        <v>772</v>
      </c>
      <c r="I4" s="567">
        <v>782</v>
      </c>
      <c r="J4" s="567">
        <v>788</v>
      </c>
      <c r="K4" s="567">
        <v>793</v>
      </c>
      <c r="L4" s="567">
        <v>801</v>
      </c>
      <c r="M4" s="569">
        <v>807</v>
      </c>
      <c r="N4" s="564">
        <v>770.58333333333337</v>
      </c>
    </row>
    <row r="5" spans="1:14">
      <c r="A5" s="565" t="s">
        <v>651</v>
      </c>
      <c r="B5" s="566">
        <v>660</v>
      </c>
      <c r="C5" s="567">
        <v>655</v>
      </c>
      <c r="D5" s="567">
        <v>654</v>
      </c>
      <c r="E5" s="567">
        <v>653</v>
      </c>
      <c r="F5" s="567">
        <v>656</v>
      </c>
      <c r="G5" s="567">
        <v>652</v>
      </c>
      <c r="H5" s="568">
        <v>651</v>
      </c>
      <c r="I5" s="567">
        <v>648</v>
      </c>
      <c r="J5" s="567">
        <v>650</v>
      </c>
      <c r="K5" s="567">
        <v>647</v>
      </c>
      <c r="L5" s="567">
        <v>645</v>
      </c>
      <c r="M5" s="569">
        <v>643</v>
      </c>
      <c r="N5" s="564">
        <v>651.16666666666663</v>
      </c>
    </row>
    <row r="6" spans="1:14">
      <c r="A6" s="565" t="s">
        <v>652</v>
      </c>
      <c r="B6" s="566">
        <v>6023</v>
      </c>
      <c r="C6" s="567">
        <v>6027</v>
      </c>
      <c r="D6" s="567">
        <v>6058</v>
      </c>
      <c r="E6" s="567">
        <v>6090</v>
      </c>
      <c r="F6" s="567">
        <v>6117</v>
      </c>
      <c r="G6" s="567">
        <v>6159</v>
      </c>
      <c r="H6" s="568">
        <v>6176</v>
      </c>
      <c r="I6" s="567">
        <v>6195</v>
      </c>
      <c r="J6" s="567">
        <v>6210</v>
      </c>
      <c r="K6" s="567">
        <v>6235</v>
      </c>
      <c r="L6" s="567">
        <v>6249</v>
      </c>
      <c r="M6" s="569">
        <v>6261</v>
      </c>
      <c r="N6" s="564">
        <v>6150</v>
      </c>
    </row>
    <row r="7" spans="1:14">
      <c r="A7" s="565" t="s">
        <v>653</v>
      </c>
      <c r="B7" s="566">
        <v>292</v>
      </c>
      <c r="C7" s="567">
        <v>296</v>
      </c>
      <c r="D7" s="567">
        <v>298</v>
      </c>
      <c r="E7" s="567">
        <v>304</v>
      </c>
      <c r="F7" s="567">
        <v>308</v>
      </c>
      <c r="G7" s="567">
        <v>310</v>
      </c>
      <c r="H7" s="568">
        <v>314</v>
      </c>
      <c r="I7" s="567">
        <v>317</v>
      </c>
      <c r="J7" s="567">
        <v>318</v>
      </c>
      <c r="K7" s="567">
        <v>318</v>
      </c>
      <c r="L7" s="567">
        <v>317</v>
      </c>
      <c r="M7" s="569">
        <v>318</v>
      </c>
      <c r="N7" s="564">
        <v>309.16666666666669</v>
      </c>
    </row>
    <row r="8" spans="1:14">
      <c r="A8" s="565" t="s">
        <v>654</v>
      </c>
      <c r="B8" s="566">
        <v>51147</v>
      </c>
      <c r="C8" s="567">
        <v>51062</v>
      </c>
      <c r="D8" s="567">
        <v>51013</v>
      </c>
      <c r="E8" s="567">
        <v>51078</v>
      </c>
      <c r="F8" s="567">
        <v>51288</v>
      </c>
      <c r="G8" s="567">
        <v>51395</v>
      </c>
      <c r="H8" s="568">
        <v>51435</v>
      </c>
      <c r="I8" s="567">
        <v>51552</v>
      </c>
      <c r="J8" s="567">
        <v>51562</v>
      </c>
      <c r="K8" s="567">
        <v>51559</v>
      </c>
      <c r="L8" s="567">
        <v>51556</v>
      </c>
      <c r="M8" s="569">
        <v>51802</v>
      </c>
      <c r="N8" s="564">
        <v>51370.75</v>
      </c>
    </row>
    <row r="9" spans="1:14">
      <c r="A9" s="565" t="s">
        <v>655</v>
      </c>
      <c r="B9" s="566">
        <v>16</v>
      </c>
      <c r="C9" s="567">
        <v>16</v>
      </c>
      <c r="D9" s="567">
        <v>16</v>
      </c>
      <c r="E9" s="567">
        <v>16</v>
      </c>
      <c r="F9" s="567">
        <v>14</v>
      </c>
      <c r="G9" s="567">
        <v>15</v>
      </c>
      <c r="H9" s="568">
        <v>13</v>
      </c>
      <c r="I9" s="567">
        <v>13</v>
      </c>
      <c r="J9" s="567">
        <v>13</v>
      </c>
      <c r="K9" s="567">
        <v>12</v>
      </c>
      <c r="L9" s="567">
        <v>12</v>
      </c>
      <c r="M9" s="569">
        <v>12</v>
      </c>
      <c r="N9" s="564">
        <v>14</v>
      </c>
    </row>
    <row r="10" spans="1:14">
      <c r="A10" s="565" t="s">
        <v>656</v>
      </c>
      <c r="B10" s="566">
        <v>90</v>
      </c>
      <c r="C10" s="567">
        <v>89</v>
      </c>
      <c r="D10" s="567">
        <v>88</v>
      </c>
      <c r="E10" s="567">
        <v>90</v>
      </c>
      <c r="F10" s="567">
        <v>89</v>
      </c>
      <c r="G10" s="567">
        <v>91</v>
      </c>
      <c r="H10" s="568">
        <v>91</v>
      </c>
      <c r="I10" s="567">
        <v>91</v>
      </c>
      <c r="J10" s="567">
        <v>91</v>
      </c>
      <c r="K10" s="567">
        <v>92</v>
      </c>
      <c r="L10" s="567">
        <v>94</v>
      </c>
      <c r="M10" s="569">
        <v>92</v>
      </c>
      <c r="N10" s="564">
        <v>90.666666666666671</v>
      </c>
    </row>
    <row r="11" spans="1:14">
      <c r="A11" s="565" t="s">
        <v>657</v>
      </c>
      <c r="B11" s="566">
        <v>235</v>
      </c>
      <c r="C11" s="567">
        <v>233</v>
      </c>
      <c r="D11" s="567">
        <v>233</v>
      </c>
      <c r="E11" s="567">
        <v>230</v>
      </c>
      <c r="F11" s="567">
        <v>230</v>
      </c>
      <c r="G11" s="567">
        <v>222</v>
      </c>
      <c r="H11" s="568">
        <v>223</v>
      </c>
      <c r="I11" s="567">
        <v>221</v>
      </c>
      <c r="J11" s="567">
        <v>224</v>
      </c>
      <c r="K11" s="567">
        <v>222</v>
      </c>
      <c r="L11" s="567">
        <v>223</v>
      </c>
      <c r="M11" s="569">
        <v>224</v>
      </c>
      <c r="N11" s="564">
        <v>226.66666666666666</v>
      </c>
    </row>
    <row r="12" spans="1:14">
      <c r="A12" s="565" t="s">
        <v>658</v>
      </c>
      <c r="B12" s="566">
        <v>15</v>
      </c>
      <c r="C12" s="567">
        <v>15</v>
      </c>
      <c r="D12" s="567">
        <v>15</v>
      </c>
      <c r="E12" s="567">
        <v>15</v>
      </c>
      <c r="F12" s="567">
        <v>15</v>
      </c>
      <c r="G12" s="567">
        <v>15</v>
      </c>
      <c r="H12" s="568">
        <v>15</v>
      </c>
      <c r="I12" s="567">
        <v>15</v>
      </c>
      <c r="J12" s="567">
        <v>15</v>
      </c>
      <c r="K12" s="567">
        <v>15</v>
      </c>
      <c r="L12" s="567">
        <v>15</v>
      </c>
      <c r="M12" s="569">
        <v>15</v>
      </c>
      <c r="N12" s="564">
        <v>15</v>
      </c>
    </row>
    <row r="13" spans="1:14">
      <c r="A13" s="565" t="s">
        <v>659</v>
      </c>
      <c r="B13" s="566">
        <v>2341</v>
      </c>
      <c r="C13" s="567">
        <v>2337</v>
      </c>
      <c r="D13" s="567">
        <v>2330</v>
      </c>
      <c r="E13" s="567">
        <v>2330</v>
      </c>
      <c r="F13" s="567">
        <v>2332</v>
      </c>
      <c r="G13" s="567">
        <v>2344</v>
      </c>
      <c r="H13" s="568">
        <v>2346</v>
      </c>
      <c r="I13" s="567">
        <v>2341</v>
      </c>
      <c r="J13" s="567">
        <v>2341</v>
      </c>
      <c r="K13" s="567">
        <v>2330</v>
      </c>
      <c r="L13" s="567">
        <v>2329</v>
      </c>
      <c r="M13" s="569">
        <v>2329</v>
      </c>
      <c r="N13" s="564">
        <v>2335.8333333333335</v>
      </c>
    </row>
    <row r="14" spans="1:14">
      <c r="A14" s="565" t="s">
        <v>660</v>
      </c>
      <c r="B14" s="566">
        <v>2</v>
      </c>
      <c r="C14" s="567">
        <v>2</v>
      </c>
      <c r="D14" s="567">
        <v>2</v>
      </c>
      <c r="E14" s="567">
        <v>2</v>
      </c>
      <c r="F14" s="567">
        <v>2</v>
      </c>
      <c r="G14" s="567">
        <v>2</v>
      </c>
      <c r="H14" s="568">
        <v>2</v>
      </c>
      <c r="I14" s="567">
        <v>2</v>
      </c>
      <c r="J14" s="567">
        <v>2</v>
      </c>
      <c r="K14" s="567">
        <v>2</v>
      </c>
      <c r="L14" s="567">
        <v>2</v>
      </c>
      <c r="M14" s="569">
        <v>2</v>
      </c>
      <c r="N14" s="564">
        <v>2</v>
      </c>
    </row>
    <row r="15" spans="1:14">
      <c r="A15" s="565" t="s">
        <v>661</v>
      </c>
      <c r="B15" s="566">
        <v>3</v>
      </c>
      <c r="C15" s="567">
        <v>3</v>
      </c>
      <c r="D15" s="567">
        <v>3</v>
      </c>
      <c r="E15" s="567">
        <v>3</v>
      </c>
      <c r="F15" s="567">
        <v>4</v>
      </c>
      <c r="G15" s="567">
        <v>4</v>
      </c>
      <c r="H15" s="568">
        <v>4</v>
      </c>
      <c r="I15" s="567">
        <v>4</v>
      </c>
      <c r="J15" s="567">
        <v>4</v>
      </c>
      <c r="K15" s="567">
        <v>4</v>
      </c>
      <c r="L15" s="567">
        <v>4</v>
      </c>
      <c r="M15" s="569">
        <v>4</v>
      </c>
      <c r="N15" s="564">
        <v>3.6666666666666665</v>
      </c>
    </row>
    <row r="16" spans="1:14">
      <c r="A16" s="565" t="s">
        <v>662</v>
      </c>
      <c r="B16" s="566">
        <v>1863</v>
      </c>
      <c r="C16" s="567">
        <v>1864</v>
      </c>
      <c r="D16" s="567">
        <v>1864</v>
      </c>
      <c r="E16" s="567">
        <v>1867</v>
      </c>
      <c r="F16" s="567">
        <v>1865</v>
      </c>
      <c r="G16" s="567">
        <v>1866</v>
      </c>
      <c r="H16" s="568">
        <v>1866</v>
      </c>
      <c r="I16" s="567">
        <v>1862</v>
      </c>
      <c r="J16" s="567">
        <v>1861</v>
      </c>
      <c r="K16" s="567">
        <v>1855</v>
      </c>
      <c r="L16" s="567">
        <v>1837</v>
      </c>
      <c r="M16" s="569">
        <v>1441</v>
      </c>
      <c r="N16" s="564">
        <v>1825.9166666666667</v>
      </c>
    </row>
    <row r="17" spans="1:14">
      <c r="A17" s="565" t="s">
        <v>663</v>
      </c>
      <c r="B17" s="566">
        <v>5</v>
      </c>
      <c r="C17" s="567">
        <v>5</v>
      </c>
      <c r="D17" s="567">
        <v>5</v>
      </c>
      <c r="E17" s="567">
        <v>5</v>
      </c>
      <c r="F17" s="567">
        <v>5</v>
      </c>
      <c r="G17" s="567">
        <v>5</v>
      </c>
      <c r="H17" s="568">
        <v>5</v>
      </c>
      <c r="I17" s="567">
        <v>5</v>
      </c>
      <c r="J17" s="567">
        <v>5</v>
      </c>
      <c r="K17" s="567">
        <v>5</v>
      </c>
      <c r="L17" s="567">
        <v>5</v>
      </c>
      <c r="M17" s="569">
        <v>5</v>
      </c>
      <c r="N17" s="564">
        <v>5</v>
      </c>
    </row>
    <row r="18" spans="1:14">
      <c r="A18" s="565" t="s">
        <v>664</v>
      </c>
      <c r="B18" s="566">
        <v>111</v>
      </c>
      <c r="C18" s="567">
        <v>111</v>
      </c>
      <c r="D18" s="567">
        <v>111</v>
      </c>
      <c r="E18" s="567">
        <v>112</v>
      </c>
      <c r="F18" s="567">
        <v>111</v>
      </c>
      <c r="G18" s="567">
        <v>111</v>
      </c>
      <c r="H18" s="568">
        <v>110</v>
      </c>
      <c r="I18" s="567">
        <v>110</v>
      </c>
      <c r="J18" s="567">
        <v>110</v>
      </c>
      <c r="K18" s="567">
        <v>109</v>
      </c>
      <c r="L18" s="567">
        <v>109</v>
      </c>
      <c r="M18" s="569">
        <v>99</v>
      </c>
      <c r="N18" s="564">
        <v>109.5</v>
      </c>
    </row>
    <row r="19" spans="1:14">
      <c r="A19" s="565" t="s">
        <v>665</v>
      </c>
      <c r="B19" s="566">
        <v>35</v>
      </c>
      <c r="C19" s="567">
        <v>35</v>
      </c>
      <c r="D19" s="567">
        <v>37</v>
      </c>
      <c r="E19" s="567">
        <v>38</v>
      </c>
      <c r="F19" s="567">
        <v>40</v>
      </c>
      <c r="G19" s="567">
        <v>40</v>
      </c>
      <c r="H19" s="568">
        <v>42</v>
      </c>
      <c r="I19" s="567">
        <v>44</v>
      </c>
      <c r="J19" s="567">
        <v>44</v>
      </c>
      <c r="K19" s="567">
        <v>44</v>
      </c>
      <c r="L19" s="567">
        <v>45</v>
      </c>
      <c r="M19" s="569">
        <v>47</v>
      </c>
      <c r="N19" s="564">
        <v>40.916666666666664</v>
      </c>
    </row>
    <row r="20" spans="1:14">
      <c r="A20" s="565" t="s">
        <v>666</v>
      </c>
      <c r="B20" s="566">
        <v>17</v>
      </c>
      <c r="C20" s="567">
        <v>17</v>
      </c>
      <c r="D20" s="567">
        <v>18</v>
      </c>
      <c r="E20" s="567">
        <v>19</v>
      </c>
      <c r="F20" s="567">
        <v>21</v>
      </c>
      <c r="G20" s="567">
        <v>21</v>
      </c>
      <c r="H20" s="568">
        <v>22</v>
      </c>
      <c r="I20" s="567">
        <v>22</v>
      </c>
      <c r="J20" s="567">
        <v>22</v>
      </c>
      <c r="K20" s="567">
        <v>24</v>
      </c>
      <c r="L20" s="567">
        <v>24</v>
      </c>
      <c r="M20" s="569">
        <v>24</v>
      </c>
      <c r="N20" s="564">
        <v>20.916666666666668</v>
      </c>
    </row>
    <row r="21" spans="1:14">
      <c r="A21" s="565" t="s">
        <v>667</v>
      </c>
      <c r="B21" s="566">
        <v>3</v>
      </c>
      <c r="C21" s="567">
        <v>4</v>
      </c>
      <c r="D21" s="567">
        <v>4</v>
      </c>
      <c r="E21" s="567">
        <v>3</v>
      </c>
      <c r="F21" s="567">
        <v>3</v>
      </c>
      <c r="G21" s="567">
        <v>3</v>
      </c>
      <c r="H21" s="568">
        <v>3</v>
      </c>
      <c r="I21" s="567">
        <v>3</v>
      </c>
      <c r="J21" s="567">
        <v>4</v>
      </c>
      <c r="K21" s="567">
        <v>4</v>
      </c>
      <c r="L21" s="567">
        <v>3</v>
      </c>
      <c r="M21" s="569">
        <v>3</v>
      </c>
      <c r="N21" s="564">
        <v>3.3333333333333335</v>
      </c>
    </row>
    <row r="22" spans="1:14">
      <c r="A22" s="565" t="s">
        <v>668</v>
      </c>
      <c r="B22" s="566">
        <v>24</v>
      </c>
      <c r="C22" s="567">
        <v>25</v>
      </c>
      <c r="D22" s="567">
        <v>26</v>
      </c>
      <c r="E22" s="567">
        <v>26</v>
      </c>
      <c r="F22" s="567">
        <v>27</v>
      </c>
      <c r="G22" s="567">
        <v>28</v>
      </c>
      <c r="H22" s="568">
        <v>28</v>
      </c>
      <c r="I22" s="567">
        <v>41</v>
      </c>
      <c r="J22" s="567">
        <v>37</v>
      </c>
      <c r="K22" s="567">
        <v>22</v>
      </c>
      <c r="L22" s="567">
        <v>22</v>
      </c>
      <c r="M22" s="569">
        <v>23</v>
      </c>
      <c r="N22" s="564">
        <v>27.416666666666668</v>
      </c>
    </row>
    <row r="23" spans="1:14">
      <c r="A23" s="565" t="s">
        <v>669</v>
      </c>
      <c r="B23" s="566">
        <v>0</v>
      </c>
      <c r="C23" s="567">
        <v>0</v>
      </c>
      <c r="D23" s="567">
        <v>0</v>
      </c>
      <c r="E23" s="567">
        <v>0</v>
      </c>
      <c r="F23" s="567">
        <v>0</v>
      </c>
      <c r="G23" s="567">
        <v>0</v>
      </c>
      <c r="H23" s="568">
        <v>0</v>
      </c>
      <c r="I23" s="567">
        <v>0</v>
      </c>
      <c r="J23" s="567">
        <v>0</v>
      </c>
      <c r="K23" s="567">
        <v>0</v>
      </c>
      <c r="L23" s="567">
        <v>0</v>
      </c>
      <c r="M23" s="569">
        <v>0</v>
      </c>
      <c r="N23" s="564">
        <v>0</v>
      </c>
    </row>
    <row r="24" spans="1:14">
      <c r="A24" s="565" t="s">
        <v>670</v>
      </c>
      <c r="B24" s="566">
        <v>1</v>
      </c>
      <c r="C24" s="567">
        <v>1</v>
      </c>
      <c r="D24" s="567">
        <v>1</v>
      </c>
      <c r="E24" s="567">
        <v>1</v>
      </c>
      <c r="F24" s="567">
        <v>1</v>
      </c>
      <c r="G24" s="567">
        <v>1</v>
      </c>
      <c r="H24" s="568">
        <v>1</v>
      </c>
      <c r="I24" s="567">
        <v>1</v>
      </c>
      <c r="J24" s="567">
        <v>1</v>
      </c>
      <c r="K24" s="567">
        <v>1</v>
      </c>
      <c r="L24" s="567">
        <v>1</v>
      </c>
      <c r="M24" s="569">
        <v>1</v>
      </c>
      <c r="N24" s="564">
        <v>1</v>
      </c>
    </row>
    <row r="25" spans="1:14">
      <c r="A25" s="565" t="s">
        <v>671</v>
      </c>
      <c r="B25" s="566">
        <v>25</v>
      </c>
      <c r="C25" s="567">
        <v>25</v>
      </c>
      <c r="D25" s="567">
        <v>26</v>
      </c>
      <c r="E25" s="567">
        <v>26</v>
      </c>
      <c r="F25" s="567">
        <v>26</v>
      </c>
      <c r="G25" s="567">
        <v>26</v>
      </c>
      <c r="H25" s="568">
        <v>26</v>
      </c>
      <c r="I25" s="567">
        <v>26</v>
      </c>
      <c r="J25" s="567">
        <v>27</v>
      </c>
      <c r="K25" s="567">
        <v>27</v>
      </c>
      <c r="L25" s="567">
        <v>27</v>
      </c>
      <c r="M25" s="569">
        <v>27</v>
      </c>
      <c r="N25" s="564">
        <v>26.166666666666668</v>
      </c>
    </row>
    <row r="26" spans="1:14">
      <c r="A26" s="565" t="s">
        <v>672</v>
      </c>
      <c r="B26" s="566">
        <v>6</v>
      </c>
      <c r="C26" s="567">
        <v>6</v>
      </c>
      <c r="D26" s="567">
        <v>5</v>
      </c>
      <c r="E26" s="567">
        <v>5</v>
      </c>
      <c r="F26" s="567">
        <v>5</v>
      </c>
      <c r="G26" s="567">
        <v>5</v>
      </c>
      <c r="H26" s="568">
        <v>5</v>
      </c>
      <c r="I26" s="567">
        <v>5</v>
      </c>
      <c r="J26" s="567">
        <v>5</v>
      </c>
      <c r="K26" s="567">
        <v>5</v>
      </c>
      <c r="L26" s="567">
        <v>5</v>
      </c>
      <c r="M26" s="569">
        <v>5</v>
      </c>
      <c r="N26" s="564">
        <v>5.166666666666667</v>
      </c>
    </row>
    <row r="27" spans="1:14">
      <c r="A27" s="565" t="s">
        <v>673</v>
      </c>
      <c r="B27" s="566">
        <v>34</v>
      </c>
      <c r="C27" s="567">
        <v>34</v>
      </c>
      <c r="D27" s="567">
        <v>34</v>
      </c>
      <c r="E27" s="567">
        <v>34</v>
      </c>
      <c r="F27" s="567">
        <v>34</v>
      </c>
      <c r="G27" s="567">
        <v>34</v>
      </c>
      <c r="H27" s="568">
        <v>34</v>
      </c>
      <c r="I27" s="567">
        <v>35</v>
      </c>
      <c r="J27" s="567">
        <v>36</v>
      </c>
      <c r="K27" s="567">
        <v>37</v>
      </c>
      <c r="L27" s="567">
        <v>37</v>
      </c>
      <c r="M27" s="569">
        <v>37</v>
      </c>
      <c r="N27" s="564">
        <v>35</v>
      </c>
    </row>
    <row r="28" spans="1:14">
      <c r="A28" s="565" t="s">
        <v>674</v>
      </c>
      <c r="B28" s="566">
        <v>64</v>
      </c>
      <c r="C28" s="567">
        <v>64</v>
      </c>
      <c r="D28" s="567">
        <v>64</v>
      </c>
      <c r="E28" s="567">
        <v>64</v>
      </c>
      <c r="F28" s="567">
        <v>64</v>
      </c>
      <c r="G28" s="567">
        <v>63</v>
      </c>
      <c r="H28" s="568">
        <v>63</v>
      </c>
      <c r="I28" s="567">
        <v>63</v>
      </c>
      <c r="J28" s="567">
        <v>63</v>
      </c>
      <c r="K28" s="567">
        <v>62</v>
      </c>
      <c r="L28" s="567">
        <v>62</v>
      </c>
      <c r="M28" s="569">
        <v>62</v>
      </c>
      <c r="N28" s="564">
        <v>63.166666666666664</v>
      </c>
    </row>
    <row r="29" spans="1:14">
      <c r="A29" s="565" t="s">
        <v>675</v>
      </c>
      <c r="B29" s="566">
        <v>306</v>
      </c>
      <c r="C29" s="567">
        <v>306</v>
      </c>
      <c r="D29" s="567">
        <v>305</v>
      </c>
      <c r="E29" s="567">
        <v>303</v>
      </c>
      <c r="F29" s="567">
        <v>301</v>
      </c>
      <c r="G29" s="567">
        <v>297</v>
      </c>
      <c r="H29" s="568">
        <v>294</v>
      </c>
      <c r="I29" s="567">
        <v>294</v>
      </c>
      <c r="J29" s="567">
        <v>291</v>
      </c>
      <c r="K29" s="567">
        <v>290</v>
      </c>
      <c r="L29" s="567">
        <v>290</v>
      </c>
      <c r="M29" s="569">
        <v>289</v>
      </c>
      <c r="N29" s="564">
        <v>297.16666666666669</v>
      </c>
    </row>
    <row r="30" spans="1:14">
      <c r="A30" s="565" t="s">
        <v>676</v>
      </c>
      <c r="B30" s="566">
        <v>9</v>
      </c>
      <c r="C30" s="567">
        <v>9</v>
      </c>
      <c r="D30" s="567">
        <v>9</v>
      </c>
      <c r="E30" s="567">
        <v>9</v>
      </c>
      <c r="F30" s="567">
        <v>9</v>
      </c>
      <c r="G30" s="567">
        <v>9</v>
      </c>
      <c r="H30" s="568">
        <v>9</v>
      </c>
      <c r="I30" s="567">
        <v>9</v>
      </c>
      <c r="J30" s="567">
        <v>9</v>
      </c>
      <c r="K30" s="567">
        <v>9</v>
      </c>
      <c r="L30" s="567">
        <v>9</v>
      </c>
      <c r="M30" s="569">
        <v>9</v>
      </c>
      <c r="N30" s="564">
        <v>9</v>
      </c>
    </row>
    <row r="31" spans="1:14">
      <c r="A31" s="565" t="s">
        <v>677</v>
      </c>
      <c r="B31" s="566">
        <v>1</v>
      </c>
      <c r="C31" s="567">
        <v>1</v>
      </c>
      <c r="D31" s="567">
        <v>1</v>
      </c>
      <c r="E31" s="567">
        <v>1</v>
      </c>
      <c r="F31" s="567">
        <v>1</v>
      </c>
      <c r="G31" s="567">
        <v>1</v>
      </c>
      <c r="H31" s="568">
        <v>1</v>
      </c>
      <c r="I31" s="567">
        <v>1</v>
      </c>
      <c r="J31" s="567">
        <v>1</v>
      </c>
      <c r="K31" s="567">
        <v>1</v>
      </c>
      <c r="L31" s="567">
        <v>1</v>
      </c>
      <c r="M31" s="569">
        <v>1</v>
      </c>
      <c r="N31" s="564">
        <v>1</v>
      </c>
    </row>
    <row r="32" spans="1:14">
      <c r="A32" s="565" t="s">
        <v>678</v>
      </c>
      <c r="B32" s="566">
        <v>7</v>
      </c>
      <c r="C32" s="567">
        <v>7</v>
      </c>
      <c r="D32" s="567">
        <v>7</v>
      </c>
      <c r="E32" s="567">
        <v>7</v>
      </c>
      <c r="F32" s="567">
        <v>7</v>
      </c>
      <c r="G32" s="567">
        <v>7</v>
      </c>
      <c r="H32" s="568">
        <v>7</v>
      </c>
      <c r="I32" s="567">
        <v>7</v>
      </c>
      <c r="J32" s="567">
        <v>7</v>
      </c>
      <c r="K32" s="567">
        <v>7</v>
      </c>
      <c r="L32" s="567">
        <v>7</v>
      </c>
      <c r="M32" s="569">
        <v>7</v>
      </c>
      <c r="N32" s="564">
        <v>7</v>
      </c>
    </row>
    <row r="33" spans="1:14">
      <c r="A33" s="565" t="s">
        <v>679</v>
      </c>
      <c r="B33" s="566">
        <v>1</v>
      </c>
      <c r="C33" s="567">
        <v>1</v>
      </c>
      <c r="D33" s="567">
        <v>1</v>
      </c>
      <c r="E33" s="567">
        <v>1</v>
      </c>
      <c r="F33" s="567">
        <v>1</v>
      </c>
      <c r="G33" s="567">
        <v>1</v>
      </c>
      <c r="H33" s="568">
        <v>1</v>
      </c>
      <c r="I33" s="567">
        <v>1</v>
      </c>
      <c r="J33" s="567">
        <v>2</v>
      </c>
      <c r="K33" s="567">
        <v>2</v>
      </c>
      <c r="L33" s="567">
        <v>2</v>
      </c>
      <c r="M33" s="569">
        <v>2</v>
      </c>
      <c r="N33" s="564">
        <v>1.3333333333333333</v>
      </c>
    </row>
    <row r="34" spans="1:14">
      <c r="A34" s="565" t="s">
        <v>680</v>
      </c>
      <c r="B34" s="566">
        <v>9</v>
      </c>
      <c r="C34" s="567">
        <v>9</v>
      </c>
      <c r="D34" s="567">
        <v>9</v>
      </c>
      <c r="E34" s="567">
        <v>9</v>
      </c>
      <c r="F34" s="567">
        <v>9</v>
      </c>
      <c r="G34" s="567">
        <v>9</v>
      </c>
      <c r="H34" s="568">
        <v>9</v>
      </c>
      <c r="I34" s="567">
        <v>9</v>
      </c>
      <c r="J34" s="567">
        <v>9</v>
      </c>
      <c r="K34" s="567">
        <v>10</v>
      </c>
      <c r="L34" s="567">
        <v>9</v>
      </c>
      <c r="M34" s="569">
        <v>9</v>
      </c>
      <c r="N34" s="564">
        <v>9.0833333333333339</v>
      </c>
    </row>
    <row r="35" spans="1:14">
      <c r="A35" s="565" t="s">
        <v>681</v>
      </c>
      <c r="B35" s="566">
        <v>138</v>
      </c>
      <c r="C35" s="567">
        <v>138</v>
      </c>
      <c r="D35" s="567">
        <v>138</v>
      </c>
      <c r="E35" s="567">
        <v>138</v>
      </c>
      <c r="F35" s="567">
        <v>138</v>
      </c>
      <c r="G35" s="567">
        <v>138</v>
      </c>
      <c r="H35" s="568">
        <v>138</v>
      </c>
      <c r="I35" s="567">
        <v>138</v>
      </c>
      <c r="J35" s="567">
        <v>138</v>
      </c>
      <c r="K35" s="567">
        <v>138</v>
      </c>
      <c r="L35" s="567">
        <v>138</v>
      </c>
      <c r="M35" s="569">
        <v>138</v>
      </c>
      <c r="N35" s="564">
        <v>138</v>
      </c>
    </row>
    <row r="36" spans="1:14">
      <c r="A36" s="565" t="s">
        <v>682</v>
      </c>
      <c r="B36" s="566">
        <v>12</v>
      </c>
      <c r="C36" s="567">
        <v>12</v>
      </c>
      <c r="D36" s="567">
        <v>12</v>
      </c>
      <c r="E36" s="567">
        <v>12</v>
      </c>
      <c r="F36" s="567">
        <v>11</v>
      </c>
      <c r="G36" s="567">
        <v>11</v>
      </c>
      <c r="H36" s="568">
        <v>11</v>
      </c>
      <c r="I36" s="567">
        <v>11</v>
      </c>
      <c r="J36" s="567">
        <v>11</v>
      </c>
      <c r="K36" s="567">
        <v>11</v>
      </c>
      <c r="L36" s="567">
        <v>11</v>
      </c>
      <c r="M36" s="569">
        <v>11</v>
      </c>
      <c r="N36" s="564">
        <v>11.333333333333334</v>
      </c>
    </row>
    <row r="37" spans="1:14">
      <c r="A37" s="565" t="s">
        <v>683</v>
      </c>
      <c r="B37" s="566">
        <v>1</v>
      </c>
      <c r="C37" s="567">
        <v>1</v>
      </c>
      <c r="D37" s="567">
        <v>1</v>
      </c>
      <c r="E37" s="567">
        <v>1</v>
      </c>
      <c r="F37" s="567">
        <v>1</v>
      </c>
      <c r="G37" s="567">
        <v>1</v>
      </c>
      <c r="H37" s="568">
        <v>1</v>
      </c>
      <c r="I37" s="567">
        <v>1</v>
      </c>
      <c r="J37" s="567">
        <v>1</v>
      </c>
      <c r="K37" s="567">
        <v>1</v>
      </c>
      <c r="L37" s="567">
        <v>1</v>
      </c>
      <c r="M37" s="569">
        <v>1</v>
      </c>
      <c r="N37" s="564">
        <v>1</v>
      </c>
    </row>
    <row r="38" spans="1:14">
      <c r="A38" s="570" t="s">
        <v>684</v>
      </c>
      <c r="B38" s="571">
        <v>755490</v>
      </c>
      <c r="C38" s="572">
        <v>755431</v>
      </c>
      <c r="D38" s="572">
        <v>755712</v>
      </c>
      <c r="E38" s="572">
        <v>757153</v>
      </c>
      <c r="F38" s="572">
        <v>759179</v>
      </c>
      <c r="G38" s="572">
        <v>760895</v>
      </c>
      <c r="H38" s="572">
        <v>762185</v>
      </c>
      <c r="I38" s="572">
        <v>763365</v>
      </c>
      <c r="J38" s="572">
        <v>763770</v>
      </c>
      <c r="K38" s="572">
        <v>763917</v>
      </c>
      <c r="L38" s="572">
        <v>763404</v>
      </c>
      <c r="M38" s="573">
        <v>762942</v>
      </c>
      <c r="N38" s="564">
        <v>760286.91666666663</v>
      </c>
    </row>
    <row r="40" spans="1:14">
      <c r="A40" t="s">
        <v>287</v>
      </c>
    </row>
    <row r="41" spans="1:14">
      <c r="A41" s="485" t="s">
        <v>295</v>
      </c>
      <c r="B41" s="574">
        <f>SUM(B3:B7)+B21</f>
        <v>698970</v>
      </c>
      <c r="C41" s="574">
        <f t="shared" ref="C41:N41" si="0">SUM(C3:C7)+C21</f>
        <v>699001</v>
      </c>
      <c r="D41" s="574">
        <f t="shared" si="0"/>
        <v>699336</v>
      </c>
      <c r="E41" s="574">
        <f t="shared" si="0"/>
        <v>700709</v>
      </c>
      <c r="F41" s="574">
        <f t="shared" si="0"/>
        <v>702526</v>
      </c>
      <c r="G41" s="574">
        <f t="shared" si="0"/>
        <v>704130</v>
      </c>
      <c r="H41" s="574">
        <f t="shared" si="0"/>
        <v>705381</v>
      </c>
      <c r="I41" s="574">
        <f t="shared" si="0"/>
        <v>706440</v>
      </c>
      <c r="J41" s="574">
        <f t="shared" si="0"/>
        <v>706836</v>
      </c>
      <c r="K41" s="574">
        <f t="shared" si="0"/>
        <v>707020</v>
      </c>
      <c r="L41" s="574">
        <f t="shared" si="0"/>
        <v>706525</v>
      </c>
      <c r="M41" s="574">
        <f t="shared" si="0"/>
        <v>706222</v>
      </c>
      <c r="N41" s="574">
        <f t="shared" si="0"/>
        <v>703591.33333333337</v>
      </c>
    </row>
    <row r="42" spans="1:14">
      <c r="A42" s="485" t="s">
        <v>299</v>
      </c>
      <c r="B42" s="574">
        <f>SUM(B8:B15)</f>
        <v>53849</v>
      </c>
      <c r="C42" s="574">
        <f t="shared" ref="C42:N42" si="1">SUM(C8:C15)</f>
        <v>53757</v>
      </c>
      <c r="D42" s="574">
        <f t="shared" si="1"/>
        <v>53700</v>
      </c>
      <c r="E42" s="574">
        <f t="shared" si="1"/>
        <v>53764</v>
      </c>
      <c r="F42" s="574">
        <f t="shared" si="1"/>
        <v>53974</v>
      </c>
      <c r="G42" s="574">
        <f t="shared" si="1"/>
        <v>54088</v>
      </c>
      <c r="H42" s="574">
        <f t="shared" si="1"/>
        <v>54129</v>
      </c>
      <c r="I42" s="574">
        <f t="shared" si="1"/>
        <v>54239</v>
      </c>
      <c r="J42" s="574">
        <f t="shared" si="1"/>
        <v>54252</v>
      </c>
      <c r="K42" s="574">
        <f t="shared" si="1"/>
        <v>54236</v>
      </c>
      <c r="L42" s="574">
        <f t="shared" si="1"/>
        <v>54235</v>
      </c>
      <c r="M42" s="574">
        <f t="shared" si="1"/>
        <v>54480</v>
      </c>
      <c r="N42" s="574">
        <f t="shared" si="1"/>
        <v>54058.583333333328</v>
      </c>
    </row>
    <row r="43" spans="1:14">
      <c r="A43" s="485" t="s">
        <v>305</v>
      </c>
      <c r="B43" s="574">
        <f>SUM(B16:B20)</f>
        <v>2031</v>
      </c>
      <c r="C43" s="574">
        <f t="shared" ref="C43:N43" si="2">SUM(C16:C20)</f>
        <v>2032</v>
      </c>
      <c r="D43" s="574">
        <f t="shared" si="2"/>
        <v>2035</v>
      </c>
      <c r="E43" s="574">
        <f t="shared" si="2"/>
        <v>2041</v>
      </c>
      <c r="F43" s="574">
        <f t="shared" si="2"/>
        <v>2042</v>
      </c>
      <c r="G43" s="574">
        <f t="shared" si="2"/>
        <v>2043</v>
      </c>
      <c r="H43" s="574">
        <f t="shared" si="2"/>
        <v>2045</v>
      </c>
      <c r="I43" s="574">
        <f t="shared" si="2"/>
        <v>2043</v>
      </c>
      <c r="J43" s="574">
        <f t="shared" si="2"/>
        <v>2042</v>
      </c>
      <c r="K43" s="574">
        <f t="shared" si="2"/>
        <v>2037</v>
      </c>
      <c r="L43" s="574">
        <f t="shared" si="2"/>
        <v>2020</v>
      </c>
      <c r="M43" s="574">
        <f t="shared" si="2"/>
        <v>1616</v>
      </c>
      <c r="N43" s="574">
        <f t="shared" si="2"/>
        <v>2002.2500000000002</v>
      </c>
    </row>
    <row r="44" spans="1:14">
      <c r="A44" s="485">
        <v>61</v>
      </c>
      <c r="B44" s="574">
        <f>SUM(B22:B24)</f>
        <v>25</v>
      </c>
      <c r="C44" s="574">
        <f t="shared" ref="C44:N44" si="3">SUM(C22:C24)</f>
        <v>26</v>
      </c>
      <c r="D44" s="574">
        <f t="shared" si="3"/>
        <v>27</v>
      </c>
      <c r="E44" s="574">
        <f t="shared" si="3"/>
        <v>27</v>
      </c>
      <c r="F44" s="574">
        <f t="shared" si="3"/>
        <v>28</v>
      </c>
      <c r="G44" s="574">
        <f t="shared" si="3"/>
        <v>29</v>
      </c>
      <c r="H44" s="574">
        <f t="shared" si="3"/>
        <v>29</v>
      </c>
      <c r="I44" s="574">
        <f t="shared" si="3"/>
        <v>42</v>
      </c>
      <c r="J44" s="574">
        <f t="shared" si="3"/>
        <v>38</v>
      </c>
      <c r="K44" s="574">
        <f t="shared" si="3"/>
        <v>23</v>
      </c>
      <c r="L44" s="574">
        <f t="shared" si="3"/>
        <v>23</v>
      </c>
      <c r="M44" s="574">
        <f t="shared" si="3"/>
        <v>24</v>
      </c>
      <c r="N44" s="574">
        <f t="shared" si="3"/>
        <v>28.416666666666668</v>
      </c>
    </row>
    <row r="45" spans="1:14">
      <c r="A45" s="485" t="s">
        <v>318</v>
      </c>
      <c r="B45" s="574">
        <f>SUM(B29:B31)</f>
        <v>316</v>
      </c>
      <c r="C45" s="574">
        <f t="shared" ref="C45:N45" si="4">SUM(C29:C31)</f>
        <v>316</v>
      </c>
      <c r="D45" s="574">
        <f t="shared" si="4"/>
        <v>315</v>
      </c>
      <c r="E45" s="574">
        <f t="shared" si="4"/>
        <v>313</v>
      </c>
      <c r="F45" s="574">
        <f t="shared" si="4"/>
        <v>311</v>
      </c>
      <c r="G45" s="574">
        <f t="shared" si="4"/>
        <v>307</v>
      </c>
      <c r="H45" s="574">
        <f t="shared" si="4"/>
        <v>304</v>
      </c>
      <c r="I45" s="574">
        <f t="shared" si="4"/>
        <v>304</v>
      </c>
      <c r="J45" s="574">
        <f t="shared" si="4"/>
        <v>301</v>
      </c>
      <c r="K45" s="574">
        <f t="shared" si="4"/>
        <v>300</v>
      </c>
      <c r="L45" s="574">
        <f t="shared" si="4"/>
        <v>300</v>
      </c>
      <c r="M45" s="574">
        <f t="shared" si="4"/>
        <v>299</v>
      </c>
      <c r="N45" s="574">
        <f t="shared" si="4"/>
        <v>307.16666666666669</v>
      </c>
    </row>
    <row r="46" spans="1:14">
      <c r="A46" s="485" t="s">
        <v>313</v>
      </c>
      <c r="B46" s="574">
        <f>SUM(B25:B28)</f>
        <v>129</v>
      </c>
      <c r="C46" s="574">
        <f t="shared" ref="C46:N46" si="5">SUM(C25:C28)</f>
        <v>129</v>
      </c>
      <c r="D46" s="574">
        <f t="shared" si="5"/>
        <v>129</v>
      </c>
      <c r="E46" s="574">
        <f t="shared" si="5"/>
        <v>129</v>
      </c>
      <c r="F46" s="574">
        <f t="shared" si="5"/>
        <v>129</v>
      </c>
      <c r="G46" s="574">
        <f t="shared" si="5"/>
        <v>128</v>
      </c>
      <c r="H46" s="574">
        <f t="shared" si="5"/>
        <v>128</v>
      </c>
      <c r="I46" s="574">
        <f t="shared" si="5"/>
        <v>129</v>
      </c>
      <c r="J46" s="574">
        <f t="shared" si="5"/>
        <v>131</v>
      </c>
      <c r="K46" s="574">
        <f t="shared" si="5"/>
        <v>131</v>
      </c>
      <c r="L46" s="574">
        <f t="shared" si="5"/>
        <v>131</v>
      </c>
      <c r="M46" s="574">
        <f t="shared" si="5"/>
        <v>131</v>
      </c>
      <c r="N46" s="574">
        <f t="shared" si="5"/>
        <v>129.5</v>
      </c>
    </row>
    <row r="47" spans="1:14">
      <c r="A47" s="485" t="s">
        <v>322</v>
      </c>
      <c r="B47" s="574">
        <f>SUM(B32:B34)</f>
        <v>17</v>
      </c>
      <c r="C47" s="574">
        <f t="shared" ref="C47:N47" si="6">SUM(C32:C34)</f>
        <v>17</v>
      </c>
      <c r="D47" s="574">
        <f t="shared" si="6"/>
        <v>17</v>
      </c>
      <c r="E47" s="574">
        <f t="shared" si="6"/>
        <v>17</v>
      </c>
      <c r="F47" s="574">
        <f t="shared" si="6"/>
        <v>17</v>
      </c>
      <c r="G47" s="574">
        <f t="shared" si="6"/>
        <v>17</v>
      </c>
      <c r="H47" s="574">
        <f t="shared" si="6"/>
        <v>17</v>
      </c>
      <c r="I47" s="574">
        <f t="shared" si="6"/>
        <v>17</v>
      </c>
      <c r="J47" s="574">
        <f t="shared" si="6"/>
        <v>18</v>
      </c>
      <c r="K47" s="574">
        <f t="shared" si="6"/>
        <v>19</v>
      </c>
      <c r="L47" s="574">
        <f t="shared" si="6"/>
        <v>18</v>
      </c>
      <c r="M47" s="574">
        <f t="shared" si="6"/>
        <v>18</v>
      </c>
      <c r="N47" s="574">
        <f t="shared" si="6"/>
        <v>17.416666666666668</v>
      </c>
    </row>
  </sheetData>
  <pageMargins left="0.7" right="0.7" top="0.75" bottom="0.75" header="0.3" footer="0.3"/>
  <pageSetup scale="72" orientation="landscape" horizontalDpi="0" verticalDpi="0"/>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N80"/>
  <sheetViews>
    <sheetView view="pageLayout" zoomScale="61" zoomScaleNormal="50" zoomScalePageLayoutView="61" workbookViewId="0">
      <selection activeCell="B9" sqref="B9"/>
    </sheetView>
  </sheetViews>
  <sheetFormatPr baseColWidth="10" defaultColWidth="9.1640625" defaultRowHeight="12.75" customHeight="1"/>
  <cols>
    <col min="1" max="1" width="6" style="32" customWidth="1"/>
    <col min="2" max="2" width="64" style="32" customWidth="1"/>
    <col min="3" max="3" width="21.6640625" style="32" bestFit="1" customWidth="1"/>
    <col min="4" max="4" width="16.5" style="32" customWidth="1"/>
    <col min="5" max="5" width="18" style="32" customWidth="1"/>
    <col min="6" max="16384" width="9.1640625" style="32"/>
  </cols>
  <sheetData>
    <row r="1" spans="1:14" ht="12.75" customHeight="1">
      <c r="A1" s="609" t="s">
        <v>22</v>
      </c>
      <c r="B1" s="609"/>
      <c r="C1" s="609"/>
      <c r="D1" s="609"/>
      <c r="E1" s="609"/>
      <c r="F1" s="329"/>
      <c r="G1" s="329"/>
      <c r="H1" s="329"/>
      <c r="I1" s="329"/>
      <c r="J1" s="329"/>
      <c r="K1" s="329"/>
      <c r="L1" s="329"/>
      <c r="M1" s="329"/>
      <c r="N1" s="329"/>
    </row>
    <row r="2" spans="1:14" ht="12.75" customHeight="1">
      <c r="A2" s="609" t="s">
        <v>23</v>
      </c>
      <c r="B2" s="609"/>
      <c r="C2" s="609"/>
      <c r="D2" s="609"/>
      <c r="E2" s="609"/>
      <c r="F2" s="329"/>
      <c r="G2" s="329"/>
      <c r="H2" s="329"/>
      <c r="I2" s="329"/>
      <c r="J2" s="329"/>
      <c r="K2" s="329"/>
      <c r="L2" s="329"/>
      <c r="M2" s="329"/>
      <c r="N2" s="329"/>
    </row>
    <row r="3" spans="1:14" ht="12.75" customHeight="1">
      <c r="A3" s="609" t="s">
        <v>24</v>
      </c>
      <c r="B3" s="609"/>
      <c r="C3" s="609"/>
      <c r="D3" s="609"/>
      <c r="E3" s="609"/>
      <c r="F3" s="329"/>
      <c r="G3" s="329"/>
      <c r="H3" s="329"/>
      <c r="I3" s="329"/>
      <c r="J3" s="329"/>
      <c r="K3" s="329"/>
      <c r="L3" s="329"/>
      <c r="M3" s="329"/>
      <c r="N3" s="329"/>
    </row>
    <row r="4" spans="1:14" ht="12.75" customHeight="1">
      <c r="A4" s="609" t="s">
        <v>25</v>
      </c>
      <c r="B4" s="609"/>
      <c r="C4" s="609"/>
      <c r="D4" s="609"/>
      <c r="E4" s="609"/>
      <c r="F4" s="329"/>
      <c r="G4" s="329"/>
      <c r="H4" s="329"/>
      <c r="I4" s="329"/>
      <c r="J4" s="329"/>
      <c r="K4" s="329"/>
      <c r="L4" s="329"/>
      <c r="M4" s="329"/>
      <c r="N4" s="329"/>
    </row>
    <row r="5" spans="1:14" ht="12.75" customHeight="1">
      <c r="A5" s="315"/>
      <c r="B5" s="315"/>
      <c r="C5" s="315"/>
      <c r="D5" s="315"/>
      <c r="E5" s="315"/>
      <c r="F5" s="316"/>
      <c r="G5" s="316"/>
      <c r="H5" s="316"/>
      <c r="I5" s="316"/>
      <c r="J5" s="316"/>
      <c r="K5" s="316"/>
      <c r="L5" s="316"/>
      <c r="M5" s="316"/>
      <c r="N5" s="316"/>
    </row>
    <row r="6" spans="1:14" ht="12.75" customHeight="1">
      <c r="A6" s="315"/>
      <c r="B6" s="315"/>
      <c r="C6" s="315"/>
      <c r="D6" s="315"/>
      <c r="E6" s="315"/>
      <c r="F6" s="316"/>
      <c r="G6" s="316"/>
      <c r="H6" s="316"/>
      <c r="I6" s="316"/>
      <c r="J6" s="316"/>
      <c r="K6" s="316"/>
      <c r="L6" s="316"/>
      <c r="M6" s="316"/>
      <c r="N6" s="316"/>
    </row>
    <row r="7" spans="1:14" ht="25.5" customHeight="1">
      <c r="A7" s="289" t="s">
        <v>26</v>
      </c>
      <c r="B7" s="227"/>
      <c r="C7" s="289" t="s">
        <v>27</v>
      </c>
      <c r="D7" s="289" t="s">
        <v>28</v>
      </c>
      <c r="E7" s="289" t="s">
        <v>29</v>
      </c>
      <c r="F7" s="316"/>
      <c r="G7" s="316"/>
      <c r="H7" s="316"/>
      <c r="I7" s="316"/>
      <c r="J7" s="316"/>
      <c r="K7" s="316"/>
      <c r="L7" s="316"/>
      <c r="M7" s="316"/>
      <c r="N7" s="316"/>
    </row>
    <row r="8" spans="1:14" ht="12.75" customHeight="1">
      <c r="A8" s="315"/>
      <c r="B8" s="392" t="s">
        <v>30</v>
      </c>
      <c r="C8" s="392" t="s">
        <v>31</v>
      </c>
      <c r="D8" s="392" t="s">
        <v>32</v>
      </c>
      <c r="E8" s="392" t="s">
        <v>33</v>
      </c>
      <c r="F8" s="316"/>
      <c r="G8" s="316"/>
      <c r="H8" s="316"/>
      <c r="I8" s="316"/>
      <c r="J8" s="316"/>
      <c r="K8" s="316"/>
      <c r="L8" s="316"/>
      <c r="M8" s="316"/>
      <c r="N8" s="316"/>
    </row>
    <row r="9" spans="1:14" ht="12.75" customHeight="1">
      <c r="A9" s="392">
        <v>1</v>
      </c>
      <c r="B9" s="228"/>
      <c r="C9" s="392"/>
      <c r="D9" s="392"/>
      <c r="E9" s="392"/>
      <c r="F9" s="316"/>
      <c r="G9" s="316"/>
      <c r="H9" s="316"/>
      <c r="I9" s="316"/>
      <c r="J9" s="316"/>
      <c r="K9" s="316"/>
      <c r="L9" s="316"/>
      <c r="M9" s="316"/>
      <c r="N9" s="316"/>
    </row>
    <row r="10" spans="1:14" ht="12.75" customHeight="1">
      <c r="A10" s="392">
        <f t="shared" ref="A10:A52" si="0">A9+1</f>
        <v>2</v>
      </c>
      <c r="B10" s="315" t="s">
        <v>34</v>
      </c>
      <c r="C10" s="229" t="s">
        <v>35</v>
      </c>
      <c r="D10" s="291">
        <f>'JPG-4'!D10</f>
        <v>291431765.88</v>
      </c>
      <c r="E10" s="291">
        <f>'JPG-4'!E10</f>
        <v>106613183.72</v>
      </c>
      <c r="F10" s="316"/>
      <c r="G10" s="316"/>
      <c r="H10" s="316"/>
      <c r="I10" s="316"/>
      <c r="J10" s="316"/>
      <c r="K10" s="316"/>
      <c r="L10" s="316"/>
      <c r="M10" s="316"/>
      <c r="N10" s="316"/>
    </row>
    <row r="11" spans="1:14" ht="12.75" customHeight="1">
      <c r="A11" s="392">
        <f t="shared" si="0"/>
        <v>3</v>
      </c>
      <c r="B11" s="315"/>
      <c r="C11" s="392"/>
      <c r="D11" s="351"/>
      <c r="E11" s="351"/>
      <c r="F11" s="316"/>
      <c r="G11" s="316"/>
      <c r="H11" s="316"/>
      <c r="I11" s="316"/>
      <c r="J11" s="316"/>
      <c r="K11" s="316"/>
      <c r="L11" s="316"/>
      <c r="M11" s="316"/>
      <c r="N11" s="316"/>
    </row>
    <row r="12" spans="1:14" ht="12.75" customHeight="1">
      <c r="A12" s="392">
        <f t="shared" si="0"/>
        <v>4</v>
      </c>
      <c r="B12" s="315" t="s">
        <v>36</v>
      </c>
      <c r="C12" s="229" t="s">
        <v>35</v>
      </c>
      <c r="D12" s="359">
        <f>'JPG-4'!D29</f>
        <v>88147473.959999993</v>
      </c>
      <c r="E12" s="359">
        <f>'JPG-4'!E29</f>
        <v>28582722.169999998</v>
      </c>
      <c r="F12" s="316"/>
      <c r="G12" s="316"/>
      <c r="H12" s="316"/>
      <c r="I12" s="316"/>
      <c r="J12" s="316"/>
      <c r="K12" s="316"/>
      <c r="L12" s="316"/>
      <c r="M12" s="316"/>
      <c r="N12" s="316"/>
    </row>
    <row r="13" spans="1:14" ht="12.75" customHeight="1">
      <c r="A13" s="392">
        <f t="shared" si="0"/>
        <v>5</v>
      </c>
      <c r="B13" s="315"/>
      <c r="C13" s="229"/>
      <c r="D13" s="285"/>
      <c r="E13" s="285"/>
      <c r="F13" s="316"/>
      <c r="G13" s="316"/>
      <c r="H13" s="316"/>
      <c r="I13" s="316"/>
      <c r="J13" s="316"/>
      <c r="K13" s="316"/>
      <c r="L13" s="316"/>
      <c r="M13" s="316"/>
      <c r="N13" s="316"/>
    </row>
    <row r="14" spans="1:14" ht="12.75" customHeight="1">
      <c r="A14" s="392">
        <f t="shared" si="0"/>
        <v>6</v>
      </c>
      <c r="B14" s="315" t="s">
        <v>37</v>
      </c>
      <c r="C14" s="392" t="str">
        <f>"("&amp;A$10&amp;") - ("&amp;A12&amp;")"</f>
        <v>(2) - (4)</v>
      </c>
      <c r="D14" s="285">
        <f>D10-D12</f>
        <v>203284291.92000002</v>
      </c>
      <c r="E14" s="285">
        <f>E10-E12</f>
        <v>78030461.549999997</v>
      </c>
      <c r="F14" s="316"/>
      <c r="G14" s="316"/>
      <c r="H14" s="316"/>
      <c r="I14" s="316"/>
      <c r="J14" s="316"/>
      <c r="K14" s="316"/>
      <c r="L14" s="316"/>
      <c r="M14" s="316"/>
      <c r="N14" s="316"/>
    </row>
    <row r="15" spans="1:14" ht="12.75" customHeight="1">
      <c r="A15" s="392">
        <f t="shared" si="0"/>
        <v>7</v>
      </c>
      <c r="B15" s="315"/>
      <c r="C15" s="229"/>
      <c r="D15" s="315"/>
      <c r="E15" s="315"/>
      <c r="F15" s="316"/>
      <c r="G15" s="316"/>
      <c r="H15" s="316"/>
      <c r="I15" s="316"/>
      <c r="J15" s="316"/>
      <c r="K15" s="316"/>
      <c r="L15" s="316"/>
      <c r="M15" s="316"/>
      <c r="N15" s="316"/>
    </row>
    <row r="16" spans="1:14" ht="12.75" customHeight="1">
      <c r="A16" s="392">
        <f t="shared" si="0"/>
        <v>8</v>
      </c>
      <c r="B16" s="315" t="s">
        <v>38</v>
      </c>
      <c r="C16" s="229" t="s">
        <v>35</v>
      </c>
      <c r="D16" s="360">
        <f>'2013 ERF Margin Rate'!D14</f>
        <v>559688037</v>
      </c>
      <c r="E16" s="360">
        <f>'2013 ERF Margin Rate'!E14</f>
        <v>304023625</v>
      </c>
      <c r="F16" s="316"/>
      <c r="G16" s="316"/>
      <c r="H16" s="316"/>
      <c r="I16" s="316"/>
      <c r="J16" s="316"/>
      <c r="K16" s="316"/>
      <c r="L16" s="316"/>
      <c r="M16" s="316"/>
      <c r="N16" s="316"/>
    </row>
    <row r="17" spans="1:5" ht="12.75" customHeight="1">
      <c r="A17" s="392">
        <f t="shared" si="0"/>
        <v>9</v>
      </c>
      <c r="B17" s="315"/>
      <c r="C17" s="392"/>
      <c r="D17" s="315"/>
      <c r="E17" s="315"/>
    </row>
    <row r="18" spans="1:5" ht="12.75" customHeight="1" thickBot="1">
      <c r="A18" s="392">
        <f t="shared" si="0"/>
        <v>10</v>
      </c>
      <c r="B18" s="315" t="s">
        <v>39</v>
      </c>
      <c r="C18" s="392" t="str">
        <f>"("&amp;A14&amp;") / ("&amp;A16&amp;")"</f>
        <v>(6) / (8)</v>
      </c>
      <c r="D18" s="230">
        <f>ROUND(D14/D16,5)</f>
        <v>0.36320999999999998</v>
      </c>
      <c r="E18" s="230">
        <f>ROUND(E14/E16,5)</f>
        <v>0.25666</v>
      </c>
    </row>
    <row r="19" spans="1:5" ht="12.75" customHeight="1" thickTop="1">
      <c r="A19" s="392">
        <f t="shared" si="0"/>
        <v>11</v>
      </c>
      <c r="B19" s="315"/>
      <c r="C19" s="315"/>
      <c r="D19" s="315"/>
      <c r="E19" s="315"/>
    </row>
    <row r="20" spans="1:5" ht="12.75" customHeight="1">
      <c r="A20" s="392">
        <f t="shared" si="0"/>
        <v>12</v>
      </c>
      <c r="B20" s="315" t="s">
        <v>40</v>
      </c>
      <c r="C20" s="392" t="s">
        <v>41</v>
      </c>
      <c r="D20" s="313">
        <f>'JPG-4'!D36</f>
        <v>326.59000000000003</v>
      </c>
      <c r="E20" s="313">
        <f>'JPG-4'!E36</f>
        <v>1555.5200000000002</v>
      </c>
    </row>
    <row r="21" spans="1:5" ht="12.75" customHeight="1">
      <c r="A21" s="392">
        <f t="shared" si="0"/>
        <v>13</v>
      </c>
      <c r="B21" s="315"/>
      <c r="C21" s="392"/>
      <c r="D21" s="351"/>
      <c r="E21" s="351"/>
    </row>
    <row r="22" spans="1:5" ht="12.75" customHeight="1">
      <c r="A22" s="392">
        <f t="shared" si="0"/>
        <v>14</v>
      </c>
      <c r="B22" s="315" t="s">
        <v>42</v>
      </c>
      <c r="C22" s="392" t="s">
        <v>43</v>
      </c>
      <c r="D22" s="361">
        <f>'F2015 Forecast'!P37</f>
        <v>751242.58333333337</v>
      </c>
      <c r="E22" s="361">
        <f>'F2015 Forecast'!P38</f>
        <v>58359</v>
      </c>
    </row>
    <row r="23" spans="1:5" ht="12.75" customHeight="1">
      <c r="A23" s="392">
        <f t="shared" si="0"/>
        <v>15</v>
      </c>
      <c r="B23" s="315"/>
      <c r="C23" s="392"/>
      <c r="D23" s="315"/>
      <c r="E23" s="315"/>
    </row>
    <row r="24" spans="1:5" ht="12.75" customHeight="1">
      <c r="A24" s="392">
        <f t="shared" si="0"/>
        <v>16</v>
      </c>
      <c r="B24" s="315" t="s">
        <v>44</v>
      </c>
      <c r="C24" s="392" t="str">
        <f>"("&amp;A$20&amp;") x ("&amp;A22&amp;")"</f>
        <v>(12) x (14)</v>
      </c>
      <c r="D24" s="232">
        <f>D20*D22</f>
        <v>245348315.29083338</v>
      </c>
      <c r="E24" s="232">
        <f>E20*E22</f>
        <v>90778591.680000007</v>
      </c>
    </row>
    <row r="25" spans="1:5" ht="12.75" customHeight="1">
      <c r="A25" s="392">
        <f t="shared" si="0"/>
        <v>17</v>
      </c>
      <c r="B25" s="315"/>
      <c r="C25" s="392"/>
      <c r="D25" s="232"/>
      <c r="E25" s="232"/>
    </row>
    <row r="26" spans="1:5" s="316" customFormat="1" ht="12.75" customHeight="1">
      <c r="A26" s="392">
        <f t="shared" si="0"/>
        <v>18</v>
      </c>
      <c r="B26" s="315" t="s">
        <v>45</v>
      </c>
      <c r="C26" s="392" t="s">
        <v>46</v>
      </c>
      <c r="D26" s="362">
        <f>'Deferral Balance'!D20</f>
        <v>1275520.3151781233</v>
      </c>
      <c r="E26" s="362">
        <f>'Deferral Balance'!E20</f>
        <v>992994.48160653585</v>
      </c>
    </row>
    <row r="27" spans="1:5" s="316" customFormat="1" ht="12.75" customHeight="1">
      <c r="A27" s="392">
        <f t="shared" si="0"/>
        <v>19</v>
      </c>
      <c r="B27" s="315"/>
      <c r="C27" s="392"/>
      <c r="D27" s="232"/>
      <c r="E27" s="232"/>
    </row>
    <row r="28" spans="1:5" ht="12.75" customHeight="1">
      <c r="A28" s="392">
        <f t="shared" si="0"/>
        <v>20</v>
      </c>
      <c r="B28" s="315" t="s">
        <v>47</v>
      </c>
      <c r="C28" s="392" t="s">
        <v>46</v>
      </c>
      <c r="D28" s="362">
        <f>'Deferral Balance'!D22</f>
        <v>53970359.91029571</v>
      </c>
      <c r="E28" s="362">
        <f>'Deferral Balance'!E22</f>
        <v>10936714.496619266</v>
      </c>
    </row>
    <row r="29" spans="1:5" s="316" customFormat="1" ht="12.75" customHeight="1">
      <c r="A29" s="392">
        <f t="shared" si="0"/>
        <v>21</v>
      </c>
      <c r="B29" s="315"/>
      <c r="C29" s="392"/>
      <c r="D29" s="362"/>
      <c r="E29" s="362"/>
    </row>
    <row r="30" spans="1:5" s="316" customFormat="1" ht="12.75" customHeight="1">
      <c r="A30" s="392">
        <f t="shared" si="0"/>
        <v>22</v>
      </c>
      <c r="B30" s="315" t="s">
        <v>48</v>
      </c>
      <c r="C30" s="392" t="s">
        <v>46</v>
      </c>
      <c r="D30" s="362">
        <f>'Deferral Balance'!D24</f>
        <v>1592833.1253159819</v>
      </c>
      <c r="E30" s="362">
        <f>'Deferral Balance'!E24</f>
        <v>416516.3744722461</v>
      </c>
    </row>
    <row r="31" spans="1:5" ht="12.75" customHeight="1">
      <c r="A31" s="392">
        <f t="shared" si="0"/>
        <v>23</v>
      </c>
      <c r="B31" s="315"/>
      <c r="C31" s="392"/>
      <c r="D31" s="362"/>
      <c r="E31" s="362"/>
    </row>
    <row r="32" spans="1:5" ht="12.75" customHeight="1">
      <c r="A32" s="392">
        <f t="shared" si="0"/>
        <v>24</v>
      </c>
      <c r="B32" s="315" t="s">
        <v>49</v>
      </c>
      <c r="C32" s="392" t="s">
        <v>50</v>
      </c>
      <c r="D32" s="359">
        <f>-'Earnings Test Allocation'!E16</f>
        <v>-4062385.9586</v>
      </c>
      <c r="E32" s="359">
        <f>-'Earnings Test Allocation'!F16</f>
        <v>-1442948.0414</v>
      </c>
    </row>
    <row r="33" spans="1:5" ht="12.75" customHeight="1">
      <c r="A33" s="392">
        <f t="shared" si="0"/>
        <v>25</v>
      </c>
      <c r="B33" s="315"/>
      <c r="C33" s="392"/>
      <c r="D33" s="231"/>
      <c r="E33" s="231"/>
    </row>
    <row r="34" spans="1:5" ht="12.75" customHeight="1">
      <c r="A34" s="392">
        <f t="shared" si="0"/>
        <v>26</v>
      </c>
      <c r="B34" s="315" t="s">
        <v>51</v>
      </c>
      <c r="C34" s="392" t="str">
        <f>"("&amp;A24&amp;")+("&amp;A26&amp;")+("&amp;A28&amp;")+("&amp;A30&amp;")+("&amp;A32&amp;")"</f>
        <v>(16)+(18)+(20)+(22)+(24)</v>
      </c>
      <c r="D34" s="232">
        <f>D24+D26+D28+D30+D32</f>
        <v>298124642.68302321</v>
      </c>
      <c r="E34" s="232">
        <f>E24+E26+E28+E30+E32</f>
        <v>101681868.99129806</v>
      </c>
    </row>
    <row r="35" spans="1:5" ht="12.75" customHeight="1">
      <c r="A35" s="392">
        <f t="shared" si="0"/>
        <v>27</v>
      </c>
      <c r="B35" s="315"/>
      <c r="C35" s="315"/>
      <c r="D35" s="314"/>
      <c r="E35" s="314"/>
    </row>
    <row r="36" spans="1:5" ht="12.75" customHeight="1">
      <c r="A36" s="392">
        <f t="shared" si="0"/>
        <v>28</v>
      </c>
      <c r="B36" s="315" t="s">
        <v>52</v>
      </c>
      <c r="C36" s="392" t="s">
        <v>43</v>
      </c>
      <c r="D36" s="360">
        <f>'F2015 Forecast'!P22</f>
        <v>619598267.08000016</v>
      </c>
      <c r="E36" s="360">
        <f>'F2015 Forecast'!P23</f>
        <v>332153913</v>
      </c>
    </row>
    <row r="37" spans="1:5" ht="12.75" customHeight="1">
      <c r="A37" s="392">
        <f t="shared" si="0"/>
        <v>29</v>
      </c>
      <c r="B37" s="315"/>
      <c r="C37" s="315"/>
      <c r="D37" s="315"/>
      <c r="E37" s="315"/>
    </row>
    <row r="38" spans="1:5" ht="12.75" customHeight="1" thickBot="1">
      <c r="A38" s="392">
        <f t="shared" si="0"/>
        <v>30</v>
      </c>
      <c r="B38" s="315" t="s">
        <v>53</v>
      </c>
      <c r="C38" s="392" t="str">
        <f>"("&amp;A34&amp;") / ("&amp;A36&amp;")"</f>
        <v>(26) / (28)</v>
      </c>
      <c r="D38" s="230">
        <f>ROUND(D34/D36,5)</f>
        <v>0.48115999999999998</v>
      </c>
      <c r="E38" s="230">
        <f>ROUND(E34/E36,5)</f>
        <v>0.30613000000000001</v>
      </c>
    </row>
    <row r="39" spans="1:5" ht="12.75" customHeight="1" thickTop="1">
      <c r="A39" s="392">
        <f t="shared" si="0"/>
        <v>31</v>
      </c>
      <c r="B39" s="315"/>
      <c r="C39" s="315"/>
      <c r="D39" s="315"/>
      <c r="E39" s="315"/>
    </row>
    <row r="40" spans="1:5" ht="12.75" customHeight="1">
      <c r="A40" s="392">
        <f t="shared" si="0"/>
        <v>32</v>
      </c>
      <c r="B40" s="315" t="s">
        <v>54</v>
      </c>
      <c r="C40" s="392" t="str">
        <f>"("&amp;A38&amp;") - ("&amp;A18&amp;")"</f>
        <v>(30) - (10)</v>
      </c>
      <c r="D40" s="286">
        <f>D38-D18</f>
        <v>0.11795</v>
      </c>
      <c r="E40" s="286">
        <f>E38-E18</f>
        <v>4.9470000000000014E-2</v>
      </c>
    </row>
    <row r="41" spans="1:5" ht="12.75" customHeight="1">
      <c r="A41" s="392">
        <f t="shared" si="0"/>
        <v>33</v>
      </c>
      <c r="B41" s="315"/>
      <c r="C41" s="315"/>
      <c r="D41" s="315"/>
      <c r="E41" s="315"/>
    </row>
    <row r="42" spans="1:5" ht="12.75" customHeight="1">
      <c r="A42" s="392">
        <f t="shared" si="0"/>
        <v>34</v>
      </c>
      <c r="B42" s="315" t="s">
        <v>55</v>
      </c>
      <c r="C42" s="392" t="s">
        <v>56</v>
      </c>
      <c r="D42" s="363">
        <f>'3% Test'!D34</f>
        <v>7.1569999999999995E-2</v>
      </c>
      <c r="E42" s="363">
        <f>'3% Test'!E34</f>
        <v>4.9470000000000014E-2</v>
      </c>
    </row>
    <row r="43" spans="1:5" ht="12.75" customHeight="1">
      <c r="A43" s="392">
        <f t="shared" si="0"/>
        <v>35</v>
      </c>
      <c r="B43" s="315"/>
      <c r="C43" s="392"/>
      <c r="D43" s="315"/>
      <c r="E43" s="315"/>
    </row>
    <row r="44" spans="1:5" ht="12.75" customHeight="1">
      <c r="A44" s="392">
        <f t="shared" si="0"/>
        <v>36</v>
      </c>
      <c r="B44" s="315" t="s">
        <v>57</v>
      </c>
      <c r="C44" s="392" t="s">
        <v>58</v>
      </c>
      <c r="D44" s="232">
        <f>IF(D40=D42,D28,(D28-((D40-D42)*D36)))</f>
        <v>25233392.2831253</v>
      </c>
      <c r="E44" s="285">
        <f>IF(E40=E42,E28,(E28-((E40-E42)*E36)))</f>
        <v>10936714.496619266</v>
      </c>
    </row>
    <row r="45" spans="1:5" ht="12.75" customHeight="1">
      <c r="A45" s="392">
        <f t="shared" si="0"/>
        <v>37</v>
      </c>
      <c r="B45" s="315"/>
      <c r="C45" s="315"/>
      <c r="D45" s="315"/>
      <c r="E45" s="315"/>
    </row>
    <row r="46" spans="1:5" s="316" customFormat="1" ht="12.75" customHeight="1">
      <c r="A46" s="392">
        <f t="shared" si="0"/>
        <v>38</v>
      </c>
      <c r="B46" s="315" t="s">
        <v>59</v>
      </c>
      <c r="C46" s="392" t="str">
        <f>"("&amp;A26&amp;")+("&amp;A30&amp;")+("&amp;A32&amp;")+("&amp;A44&amp;")"</f>
        <v>(18)+(22)+(24)+(36)</v>
      </c>
      <c r="D46" s="285">
        <f>D44+D26+D30+D32</f>
        <v>24039359.765019406</v>
      </c>
      <c r="E46" s="285">
        <f>E44+E26+E30+E32</f>
        <v>10903277.311298046</v>
      </c>
    </row>
    <row r="47" spans="1:5" s="316" customFormat="1" ht="12.75" customHeight="1">
      <c r="A47" s="392">
        <f t="shared" si="0"/>
        <v>39</v>
      </c>
      <c r="B47" s="315"/>
      <c r="C47" s="315"/>
      <c r="D47" s="315"/>
      <c r="E47" s="315"/>
    </row>
    <row r="48" spans="1:5" ht="12.75" customHeight="1">
      <c r="A48" s="392">
        <f t="shared" si="0"/>
        <v>40</v>
      </c>
      <c r="B48" s="315" t="s">
        <v>60</v>
      </c>
      <c r="C48" s="392" t="str">
        <f>"("&amp;A$36&amp;") x ("&amp;A42&amp;")"</f>
        <v>(28) x (34)</v>
      </c>
      <c r="D48" s="285">
        <f>D36*D42</f>
        <v>44344647.974915609</v>
      </c>
      <c r="E48" s="285">
        <f>E36*E42</f>
        <v>16431654.076110005</v>
      </c>
    </row>
    <row r="49" spans="1:5" ht="12.75" customHeight="1">
      <c r="A49" s="392">
        <f t="shared" si="0"/>
        <v>41</v>
      </c>
      <c r="B49" s="315"/>
      <c r="C49" s="315"/>
      <c r="D49" s="285"/>
      <c r="E49" s="285"/>
    </row>
    <row r="50" spans="1:5" ht="12.75" customHeight="1">
      <c r="A50" s="392">
        <f t="shared" si="0"/>
        <v>42</v>
      </c>
      <c r="B50" s="315" t="s">
        <v>61</v>
      </c>
      <c r="C50" s="392" t="str">
        <f>"("&amp;A48&amp;") / ("&amp;A34&amp;")"</f>
        <v>(40) / (26)</v>
      </c>
      <c r="D50" s="233">
        <f>ROUND(D48/D34,5)</f>
        <v>0.14874999999999999</v>
      </c>
      <c r="E50" s="233">
        <f>ROUND(E48/E34,5)</f>
        <v>0.16159999999999999</v>
      </c>
    </row>
    <row r="51" spans="1:5" ht="12.75" customHeight="1">
      <c r="A51" s="392">
        <f t="shared" si="0"/>
        <v>43</v>
      </c>
      <c r="B51" s="315"/>
      <c r="C51" s="315"/>
      <c r="D51" s="285"/>
      <c r="E51" s="285"/>
    </row>
    <row r="52" spans="1:5" s="316" customFormat="1" ht="12.75" customHeight="1">
      <c r="A52" s="392">
        <f t="shared" si="0"/>
        <v>44</v>
      </c>
      <c r="B52" s="315" t="s">
        <v>62</v>
      </c>
      <c r="C52" s="392" t="str">
        <f>"("&amp;A24&amp;") / ("&amp;A36&amp;")"</f>
        <v>(16) / (28)</v>
      </c>
      <c r="D52" s="286">
        <f>ROUND(D24/D36,5)</f>
        <v>0.39598</v>
      </c>
      <c r="E52" s="286">
        <f>ROUND(E24/E36,5)</f>
        <v>0.27329999999999999</v>
      </c>
    </row>
    <row r="53" spans="1:5" s="316" customFormat="1" ht="12.75" customHeight="1">
      <c r="A53" s="392"/>
      <c r="B53" s="315"/>
      <c r="C53" s="315"/>
      <c r="D53" s="285"/>
      <c r="E53" s="285"/>
    </row>
    <row r="54" spans="1:5" ht="12.75" customHeight="1">
      <c r="A54" s="392"/>
      <c r="B54" s="315" t="s">
        <v>63</v>
      </c>
      <c r="C54" s="315"/>
      <c r="D54" s="285"/>
      <c r="E54" s="233"/>
    </row>
    <row r="55" spans="1:5" ht="12.75" customHeight="1">
      <c r="A55" s="392"/>
      <c r="B55" s="315" t="s">
        <v>64</v>
      </c>
      <c r="C55" s="315"/>
      <c r="D55" s="465"/>
      <c r="E55" s="465"/>
    </row>
    <row r="56" spans="1:5" ht="12.75" customHeight="1">
      <c r="A56" s="315"/>
      <c r="B56" s="315"/>
      <c r="C56" s="315"/>
      <c r="D56" s="269"/>
      <c r="E56" s="316"/>
    </row>
    <row r="57" spans="1:5" ht="12.75" customHeight="1">
      <c r="A57" s="315"/>
      <c r="B57" s="315"/>
      <c r="C57" s="315"/>
      <c r="D57" s="316"/>
      <c r="E57" s="316"/>
    </row>
    <row r="58" spans="1:5" ht="12.75" customHeight="1">
      <c r="A58" s="315"/>
      <c r="B58" s="316"/>
      <c r="C58" s="316"/>
      <c r="D58" s="316"/>
      <c r="E58" s="247"/>
    </row>
    <row r="59" spans="1:5" ht="12.75" customHeight="1">
      <c r="A59" s="315"/>
      <c r="B59" s="316"/>
      <c r="C59" s="316"/>
      <c r="D59" s="316"/>
      <c r="E59" s="247"/>
    </row>
    <row r="60" spans="1:5" ht="12.75" customHeight="1">
      <c r="A60" s="315"/>
      <c r="B60" s="316"/>
      <c r="C60" s="316"/>
      <c r="D60" s="316"/>
      <c r="E60" s="316"/>
    </row>
    <row r="61" spans="1:5" ht="12.75" customHeight="1">
      <c r="A61" s="315"/>
      <c r="B61" s="316"/>
      <c r="C61" s="316"/>
      <c r="D61" s="316"/>
      <c r="E61" s="316"/>
    </row>
    <row r="62" spans="1:5" ht="12.75" customHeight="1">
      <c r="A62" s="315"/>
      <c r="B62" s="316"/>
      <c r="C62" s="316"/>
      <c r="D62" s="316"/>
      <c r="E62" s="316"/>
    </row>
    <row r="63" spans="1:5" ht="12.75" customHeight="1">
      <c r="A63" s="315"/>
      <c r="B63" s="316"/>
      <c r="C63" s="316"/>
      <c r="D63" s="316"/>
      <c r="E63" s="316"/>
    </row>
    <row r="64" spans="1:5" ht="12.75" customHeight="1">
      <c r="A64" s="315"/>
      <c r="B64" s="316"/>
      <c r="C64" s="316"/>
      <c r="D64" s="316"/>
      <c r="E64" s="316"/>
    </row>
    <row r="65" spans="1:5" ht="12.75" customHeight="1">
      <c r="A65" s="315"/>
      <c r="B65" s="316"/>
      <c r="C65" s="316"/>
      <c r="D65" s="316"/>
      <c r="E65" s="316"/>
    </row>
    <row r="66" spans="1:5" ht="12.75" customHeight="1">
      <c r="A66" s="315"/>
      <c r="B66" s="316"/>
      <c r="C66" s="316"/>
      <c r="D66" s="316"/>
      <c r="E66" s="316"/>
    </row>
    <row r="67" spans="1:5" ht="12.75" customHeight="1">
      <c r="A67" s="315"/>
      <c r="B67" s="316"/>
      <c r="C67" s="316"/>
      <c r="D67" s="316"/>
      <c r="E67" s="316"/>
    </row>
    <row r="76" spans="1:5" ht="12.75" customHeight="1">
      <c r="A76" s="316"/>
      <c r="B76" s="316"/>
      <c r="C76" s="316"/>
      <c r="D76" s="419"/>
      <c r="E76" s="419"/>
    </row>
    <row r="77" spans="1:5" ht="12.75" customHeight="1">
      <c r="A77" s="316"/>
      <c r="B77" s="316"/>
      <c r="C77" s="316"/>
      <c r="D77" s="419"/>
      <c r="E77" s="419"/>
    </row>
    <row r="78" spans="1:5" ht="12.75" customHeight="1">
      <c r="A78" s="316"/>
      <c r="B78" s="316"/>
      <c r="C78" s="316"/>
      <c r="D78" s="315"/>
      <c r="E78" s="315"/>
    </row>
    <row r="79" spans="1:5" ht="12.75" customHeight="1">
      <c r="A79" s="316"/>
      <c r="B79" s="316"/>
      <c r="C79" s="316"/>
      <c r="D79" s="286"/>
      <c r="E79" s="315"/>
    </row>
    <row r="80" spans="1:5" ht="12.75" customHeight="1">
      <c r="A80" s="316"/>
      <c r="B80" s="316"/>
      <c r="C80" s="316"/>
      <c r="D80" s="286"/>
      <c r="E80" s="315"/>
    </row>
  </sheetData>
  <mergeCells count="4">
    <mergeCell ref="A1:E1"/>
    <mergeCell ref="A2:E2"/>
    <mergeCell ref="A3:E3"/>
    <mergeCell ref="A4:E4"/>
  </mergeCells>
  <printOptions horizontalCentered="1"/>
  <pageMargins left="0.7" right="0.7" top="0.75" bottom="0.75" header="0.3" footer="0.3"/>
  <pageSetup scale="91"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42"/>
  <sheetViews>
    <sheetView view="pageLayout" topLeftCell="A24" zoomScale="75" zoomScaleNormal="69" zoomScalePageLayoutView="75" workbookViewId="0">
      <selection activeCell="H42" sqref="H42"/>
    </sheetView>
  </sheetViews>
  <sheetFormatPr baseColWidth="10" defaultColWidth="8.83203125" defaultRowHeight="15"/>
  <cols>
    <col min="1" max="1" width="5" bestFit="1" customWidth="1"/>
    <col min="2" max="2" width="41.6640625" bestFit="1" customWidth="1"/>
    <col min="3" max="3" width="11.5" bestFit="1" customWidth="1"/>
    <col min="4" max="4" width="7.5" bestFit="1" customWidth="1"/>
    <col min="5" max="5" width="8.6640625" bestFit="1" customWidth="1"/>
  </cols>
  <sheetData>
    <row r="1" spans="1:5">
      <c r="A1" s="493" t="s">
        <v>65</v>
      </c>
      <c r="B1" s="494"/>
      <c r="C1" s="495"/>
      <c r="D1" s="495"/>
      <c r="E1" s="496"/>
    </row>
    <row r="2" spans="1:5">
      <c r="A2" s="497" t="s">
        <v>66</v>
      </c>
      <c r="B2" s="494"/>
      <c r="C2" s="495"/>
      <c r="D2" s="495"/>
      <c r="E2" s="496"/>
    </row>
    <row r="3" spans="1:5">
      <c r="A3" s="497" t="s">
        <v>67</v>
      </c>
      <c r="B3" s="494"/>
      <c r="C3" s="495"/>
      <c r="D3" s="495"/>
      <c r="E3" s="496"/>
    </row>
    <row r="4" spans="1:5">
      <c r="A4" s="610" t="s">
        <v>68</v>
      </c>
      <c r="B4" s="611"/>
      <c r="C4" s="611"/>
      <c r="D4" s="611"/>
      <c r="E4" s="612"/>
    </row>
    <row r="5" spans="1:5">
      <c r="A5" s="498"/>
      <c r="B5" s="499"/>
      <c r="C5" s="499"/>
      <c r="D5" s="499"/>
      <c r="E5" s="500"/>
    </row>
    <row r="6" spans="1:5">
      <c r="A6" s="501"/>
      <c r="B6" s="499"/>
      <c r="C6" s="499"/>
      <c r="D6" s="499"/>
      <c r="E6" s="500"/>
    </row>
    <row r="7" spans="1:5">
      <c r="A7" s="502" t="s">
        <v>69</v>
      </c>
      <c r="B7" s="499"/>
      <c r="C7" s="503" t="s">
        <v>70</v>
      </c>
      <c r="D7" s="503"/>
      <c r="E7" s="504" t="s">
        <v>71</v>
      </c>
    </row>
    <row r="8" spans="1:5">
      <c r="A8" s="505" t="s">
        <v>72</v>
      </c>
      <c r="B8" s="506" t="s">
        <v>73</v>
      </c>
      <c r="C8" s="507" t="s">
        <v>74</v>
      </c>
      <c r="D8" s="507" t="s">
        <v>75</v>
      </c>
      <c r="E8" s="508" t="s">
        <v>76</v>
      </c>
    </row>
    <row r="9" spans="1:5">
      <c r="A9" s="509"/>
      <c r="B9" s="510"/>
      <c r="C9" s="510"/>
      <c r="D9" s="510"/>
      <c r="E9" s="511"/>
    </row>
    <row r="10" spans="1:5">
      <c r="A10" s="512">
        <v>1</v>
      </c>
      <c r="B10" s="499" t="s">
        <v>77</v>
      </c>
      <c r="C10" s="513">
        <v>0.04</v>
      </c>
      <c r="D10" s="513">
        <v>2.6800000000000001E-2</v>
      </c>
      <c r="E10" s="514">
        <f>ROUND(C10*D10,4)</f>
        <v>1.1000000000000001E-3</v>
      </c>
    </row>
    <row r="11" spans="1:5">
      <c r="A11" s="512">
        <v>2</v>
      </c>
      <c r="B11" s="499" t="s">
        <v>78</v>
      </c>
      <c r="C11" s="515">
        <f>C14-C12-C13-C10</f>
        <v>0.48000000000000004</v>
      </c>
      <c r="D11" s="513">
        <v>6.1600000000000002E-2</v>
      </c>
      <c r="E11" s="514">
        <f>ROUND(C11*D11,4)</f>
        <v>2.9600000000000001E-2</v>
      </c>
    </row>
    <row r="12" spans="1:5">
      <c r="A12" s="512">
        <v>3</v>
      </c>
      <c r="B12" s="499" t="s">
        <v>79</v>
      </c>
      <c r="C12" s="515">
        <v>0</v>
      </c>
      <c r="D12" s="515">
        <v>0</v>
      </c>
      <c r="E12" s="514">
        <f>ROUND(C12*D12,4)</f>
        <v>0</v>
      </c>
    </row>
    <row r="13" spans="1:5">
      <c r="A13" s="512">
        <v>4</v>
      </c>
      <c r="B13" s="499" t="s">
        <v>80</v>
      </c>
      <c r="C13" s="515">
        <v>0.48</v>
      </c>
      <c r="D13" s="516">
        <v>9.8000000000000004E-2</v>
      </c>
      <c r="E13" s="514">
        <f>ROUND(C13*D13,4)</f>
        <v>4.7E-2</v>
      </c>
    </row>
    <row r="14" spans="1:5">
      <c r="A14" s="512">
        <v>5</v>
      </c>
      <c r="B14" s="499" t="s">
        <v>81</v>
      </c>
      <c r="C14" s="517">
        <v>1</v>
      </c>
      <c r="D14" s="515"/>
      <c r="E14" s="518">
        <f>SUM(E10:E13)</f>
        <v>7.7700000000000005E-2</v>
      </c>
    </row>
    <row r="15" spans="1:5">
      <c r="A15" s="512">
        <v>6</v>
      </c>
      <c r="B15" s="499"/>
      <c r="C15" s="515"/>
      <c r="D15" s="515"/>
      <c r="E15" s="514"/>
    </row>
    <row r="16" spans="1:5">
      <c r="A16" s="512">
        <v>7</v>
      </c>
      <c r="B16" s="499" t="s">
        <v>82</v>
      </c>
      <c r="C16" s="515">
        <f>C10</f>
        <v>0.04</v>
      </c>
      <c r="D16" s="515">
        <f>D10*0.65</f>
        <v>1.7420000000000001E-2</v>
      </c>
      <c r="E16" s="514">
        <f>ROUND(E10*0.65,4)</f>
        <v>6.9999999999999999E-4</v>
      </c>
    </row>
    <row r="17" spans="1:5">
      <c r="A17" s="512">
        <v>8</v>
      </c>
      <c r="B17" s="499" t="s">
        <v>83</v>
      </c>
      <c r="C17" s="515">
        <f>C11</f>
        <v>0.48000000000000004</v>
      </c>
      <c r="D17" s="515">
        <f>D11*0.65</f>
        <v>4.0039999999999999E-2</v>
      </c>
      <c r="E17" s="514">
        <f>ROUND(E11*0.65,4)</f>
        <v>1.9199999999999998E-2</v>
      </c>
    </row>
    <row r="18" spans="1:5">
      <c r="A18" s="512">
        <v>9</v>
      </c>
      <c r="B18" s="499" t="s">
        <v>79</v>
      </c>
      <c r="C18" s="515">
        <f>C12</f>
        <v>0</v>
      </c>
      <c r="D18" s="515">
        <f>D12</f>
        <v>0</v>
      </c>
      <c r="E18" s="514">
        <f>ROUND(C18*D18,4)</f>
        <v>0</v>
      </c>
    </row>
    <row r="19" spans="1:5" ht="16" thickBot="1">
      <c r="A19" s="519">
        <v>10</v>
      </c>
      <c r="B19" s="520" t="s">
        <v>80</v>
      </c>
      <c r="C19" s="521">
        <f>C13</f>
        <v>0.48</v>
      </c>
      <c r="D19" s="521">
        <f>D13</f>
        <v>9.8000000000000004E-2</v>
      </c>
      <c r="E19" s="522">
        <f>ROUND(C19*D19,4)</f>
        <v>4.7E-2</v>
      </c>
    </row>
    <row r="20" spans="1:5">
      <c r="A20" s="512">
        <v>11</v>
      </c>
      <c r="B20" s="499" t="s">
        <v>84</v>
      </c>
      <c r="C20" s="515">
        <f>SUM(C16:C19)</f>
        <v>1</v>
      </c>
      <c r="D20" s="523"/>
      <c r="E20" s="514">
        <f>SUM(E16:E19)</f>
        <v>6.6900000000000001E-2</v>
      </c>
    </row>
    <row r="21" spans="1:5" ht="16" thickBot="1">
      <c r="A21" s="519"/>
      <c r="B21" s="520"/>
      <c r="C21" s="521"/>
      <c r="D21" s="521"/>
      <c r="E21" s="522"/>
    </row>
    <row r="23" spans="1:5" ht="195" customHeight="1"/>
    <row r="24" spans="1:5">
      <c r="A24" s="524"/>
      <c r="B24" s="613" t="s">
        <v>85</v>
      </c>
      <c r="C24" s="613"/>
      <c r="D24" s="613"/>
      <c r="E24" s="613"/>
    </row>
    <row r="25" spans="1:5">
      <c r="A25" s="525"/>
      <c r="B25" s="614" t="s">
        <v>86</v>
      </c>
      <c r="C25" s="614"/>
      <c r="D25" s="614"/>
      <c r="E25" s="614"/>
    </row>
    <row r="26" spans="1:5">
      <c r="A26" s="526"/>
      <c r="B26" s="615" t="s">
        <v>87</v>
      </c>
      <c r="C26" s="615"/>
      <c r="D26" s="615"/>
      <c r="E26" s="615"/>
    </row>
    <row r="27" spans="1:5">
      <c r="A27" s="526"/>
      <c r="B27" s="615" t="s">
        <v>88</v>
      </c>
      <c r="C27" s="615"/>
      <c r="D27" s="615"/>
      <c r="E27" s="615"/>
    </row>
    <row r="28" spans="1:5">
      <c r="A28" s="527"/>
      <c r="B28" s="527"/>
      <c r="C28" s="527"/>
      <c r="D28" s="527"/>
      <c r="E28" s="527"/>
    </row>
    <row r="29" spans="1:5">
      <c r="A29" s="593" t="s">
        <v>69</v>
      </c>
      <c r="B29" s="527"/>
      <c r="C29" s="527"/>
      <c r="D29" s="527"/>
      <c r="E29" s="527"/>
    </row>
    <row r="30" spans="1:5">
      <c r="A30" s="528" t="s">
        <v>72</v>
      </c>
      <c r="B30" s="529" t="s">
        <v>73</v>
      </c>
      <c r="C30" s="530"/>
      <c r="D30" s="530"/>
      <c r="E30" s="531" t="s">
        <v>89</v>
      </c>
    </row>
    <row r="31" spans="1:5">
      <c r="A31" s="532"/>
      <c r="B31" s="532"/>
      <c r="C31" s="532"/>
      <c r="D31" s="532"/>
      <c r="E31" s="533"/>
    </row>
    <row r="32" spans="1:5">
      <c r="A32" s="533">
        <v>1</v>
      </c>
      <c r="B32" s="534" t="s">
        <v>90</v>
      </c>
      <c r="C32" s="532"/>
      <c r="D32" s="532"/>
      <c r="E32" s="535">
        <v>3.7230000000000002E-3</v>
      </c>
    </row>
    <row r="33" spans="1:5">
      <c r="A33" s="533">
        <v>2</v>
      </c>
      <c r="B33" s="534" t="s">
        <v>91</v>
      </c>
      <c r="C33" s="532"/>
      <c r="D33" s="532"/>
      <c r="E33" s="535">
        <v>2E-3</v>
      </c>
    </row>
    <row r="34" spans="1:5">
      <c r="A34" s="533">
        <v>3</v>
      </c>
      <c r="B34" s="534" t="str">
        <f>"STATE UTILITY TAX - NET OF BAD DEBTS ( "&amp;D34*100&amp;"% - ( LINE 1 * "&amp;D34*100&amp;"%) )"</f>
        <v>STATE UTILITY TAX - NET OF BAD DEBTS ( 3.852% - ( LINE 1 * 3.852%) )</v>
      </c>
      <c r="C34" s="532"/>
      <c r="D34" s="536">
        <v>3.8519999999999999E-2</v>
      </c>
      <c r="E34" s="537">
        <v>3.8377000000000001E-2</v>
      </c>
    </row>
    <row r="35" spans="1:5">
      <c r="A35" s="533">
        <v>4</v>
      </c>
      <c r="B35" s="534"/>
      <c r="C35" s="532"/>
      <c r="D35" s="532"/>
      <c r="E35" s="538"/>
    </row>
    <row r="36" spans="1:5">
      <c r="A36" s="533">
        <v>5</v>
      </c>
      <c r="B36" s="534" t="s">
        <v>92</v>
      </c>
      <c r="C36" s="532"/>
      <c r="D36" s="532"/>
      <c r="E36" s="535">
        <f>ROUND(SUM(E32:E34),6)</f>
        <v>4.41E-2</v>
      </c>
    </row>
    <row r="37" spans="1:5">
      <c r="A37" s="533">
        <v>6</v>
      </c>
      <c r="B37" s="532"/>
      <c r="C37" s="532"/>
      <c r="D37" s="532"/>
      <c r="E37" s="535"/>
    </row>
    <row r="38" spans="1:5">
      <c r="A38" s="533">
        <v>7</v>
      </c>
      <c r="B38" s="532" t="s">
        <v>93</v>
      </c>
      <c r="C38" s="532"/>
      <c r="D38" s="532"/>
      <c r="E38" s="535">
        <f>ROUND(1-E36,6)</f>
        <v>0.95589999999999997</v>
      </c>
    </row>
    <row r="39" spans="1:5">
      <c r="A39" s="533">
        <v>8</v>
      </c>
      <c r="B39" s="534" t="s">
        <v>94</v>
      </c>
      <c r="C39" s="532"/>
      <c r="D39" s="539">
        <v>0.35</v>
      </c>
      <c r="E39" s="535">
        <f>ROUND((E38)*D39,6)</f>
        <v>0.334565</v>
      </c>
    </row>
    <row r="40" spans="1:5">
      <c r="A40" s="533">
        <v>9</v>
      </c>
      <c r="B40" s="534" t="s">
        <v>95</v>
      </c>
      <c r="C40" s="532"/>
      <c r="D40" s="532"/>
      <c r="E40" s="540">
        <f>ROUND(1-E39-E36,6)</f>
        <v>0.62133499999999997</v>
      </c>
    </row>
    <row r="42" spans="1:5">
      <c r="A42" t="s">
        <v>96</v>
      </c>
      <c r="E42" s="541">
        <f>ROUND(E20/E40,4)</f>
        <v>0.1077</v>
      </c>
    </row>
  </sheetData>
  <mergeCells count="5">
    <mergeCell ref="A4:E4"/>
    <mergeCell ref="B24:E24"/>
    <mergeCell ref="B25:E25"/>
    <mergeCell ref="B26:E26"/>
    <mergeCell ref="B27:E27"/>
  </mergeCells>
  <pageMargins left="0.7" right="0.7" top="0.75" bottom="0.75" header="0.3" footer="0.3"/>
  <pageSetup fitToWidth="0" fitToHeight="0" orientation="landscape" horizontalDpi="0" verticalDpi="0"/>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E40"/>
  <sheetViews>
    <sheetView zoomScale="63" workbookViewId="0">
      <selection activeCell="I68" sqref="I68"/>
    </sheetView>
  </sheetViews>
  <sheetFormatPr baseColWidth="10" defaultColWidth="9.1640625" defaultRowHeight="12.75" customHeight="1"/>
  <cols>
    <col min="1" max="1" width="6.5" style="316" customWidth="1"/>
    <col min="2" max="2" width="63.83203125" style="316" customWidth="1"/>
    <col min="3" max="3" width="17" style="316" bestFit="1" customWidth="1"/>
    <col min="4" max="5" width="19.6640625" style="316" customWidth="1"/>
    <col min="6" max="16384" width="9.1640625" style="316"/>
  </cols>
  <sheetData>
    <row r="1" spans="1:5" ht="12.75" customHeight="1">
      <c r="A1" s="609" t="s">
        <v>22</v>
      </c>
      <c r="B1" s="609"/>
      <c r="C1" s="609"/>
      <c r="D1" s="609"/>
      <c r="E1" s="609"/>
    </row>
    <row r="2" spans="1:5" ht="12.75" customHeight="1">
      <c r="A2" s="616" t="str">
        <f>'Rate Change Calc'!A2:E2</f>
        <v>2016 Gas Decoupling Filing</v>
      </c>
      <c r="B2" s="616"/>
      <c r="C2" s="616"/>
      <c r="D2" s="616"/>
      <c r="E2" s="616"/>
    </row>
    <row r="3" spans="1:5" ht="12.75" customHeight="1">
      <c r="A3" s="609" t="s">
        <v>97</v>
      </c>
      <c r="B3" s="609"/>
      <c r="C3" s="609"/>
      <c r="D3" s="609"/>
      <c r="E3" s="609"/>
    </row>
    <row r="4" spans="1:5" ht="12.75" customHeight="1">
      <c r="A4" s="616" t="str">
        <f>'Rate Change Calc'!A4:E4</f>
        <v>Proposed Effective May 1, 2016</v>
      </c>
      <c r="B4" s="616"/>
      <c r="C4" s="616"/>
      <c r="D4" s="616"/>
      <c r="E4" s="616"/>
    </row>
    <row r="5" spans="1:5" ht="12.75" customHeight="1">
      <c r="A5" s="315"/>
      <c r="B5" s="434"/>
      <c r="C5" s="434"/>
      <c r="D5" s="434"/>
      <c r="E5" s="434"/>
    </row>
    <row r="6" spans="1:5" ht="12.75" customHeight="1">
      <c r="A6" s="315"/>
      <c r="B6" s="315"/>
      <c r="C6" s="315"/>
      <c r="D6" s="315"/>
      <c r="E6" s="315"/>
    </row>
    <row r="7" spans="1:5" ht="25.5" customHeight="1">
      <c r="A7" s="289" t="s">
        <v>26</v>
      </c>
      <c r="B7" s="227"/>
      <c r="C7" s="289" t="s">
        <v>27</v>
      </c>
      <c r="D7" s="289" t="s">
        <v>28</v>
      </c>
      <c r="E7" s="289" t="s">
        <v>29</v>
      </c>
    </row>
    <row r="8" spans="1:5" ht="12.75" customHeight="1">
      <c r="A8" s="315"/>
      <c r="B8" s="392" t="s">
        <v>30</v>
      </c>
      <c r="C8" s="392" t="s">
        <v>31</v>
      </c>
      <c r="D8" s="392" t="s">
        <v>32</v>
      </c>
      <c r="E8" s="392" t="s">
        <v>33</v>
      </c>
    </row>
    <row r="9" spans="1:5" ht="12.75" customHeight="1">
      <c r="A9" s="392">
        <v>1</v>
      </c>
      <c r="B9" s="228"/>
      <c r="C9" s="392"/>
      <c r="D9" s="392"/>
      <c r="E9" s="392"/>
    </row>
    <row r="10" spans="1:5" ht="12.75" customHeight="1">
      <c r="A10" s="392">
        <f t="shared" ref="A10:A37" si="0">A9+1</f>
        <v>2</v>
      </c>
      <c r="B10" s="315" t="s">
        <v>98</v>
      </c>
      <c r="C10" s="392" t="s">
        <v>99</v>
      </c>
      <c r="D10" s="291">
        <f>'CY2015 Data'!E36</f>
        <v>592516128.2841568</v>
      </c>
      <c r="E10" s="291">
        <f>'CY2015 Data'!E37</f>
        <v>254901180.58536839</v>
      </c>
    </row>
    <row r="11" spans="1:5" ht="12.75" customHeight="1">
      <c r="A11" s="392">
        <f t="shared" si="0"/>
        <v>3</v>
      </c>
      <c r="B11" s="315"/>
      <c r="C11" s="392"/>
      <c r="D11" s="351"/>
      <c r="E11" s="351"/>
    </row>
    <row r="12" spans="1:5" ht="12.75" customHeight="1">
      <c r="A12" s="392">
        <f t="shared" si="0"/>
        <v>4</v>
      </c>
      <c r="B12" s="315" t="s">
        <v>100</v>
      </c>
      <c r="C12" s="392" t="s">
        <v>99</v>
      </c>
      <c r="D12" s="359">
        <f>'Res Deferral Calc 2015'!O49</f>
        <v>12089902.376250001</v>
      </c>
      <c r="E12" s="359">
        <f>'Non-Res Deferral Calc 2015'!O47</f>
        <v>7068453.3147799987</v>
      </c>
    </row>
    <row r="13" spans="1:5" ht="12.75" customHeight="1">
      <c r="A13" s="392">
        <f t="shared" si="0"/>
        <v>5</v>
      </c>
      <c r="B13" s="315"/>
      <c r="C13" s="392"/>
      <c r="D13" s="315"/>
      <c r="E13" s="315"/>
    </row>
    <row r="14" spans="1:5" ht="12.75" customHeight="1">
      <c r="A14" s="392">
        <f t="shared" si="0"/>
        <v>6</v>
      </c>
      <c r="B14" s="315" t="s">
        <v>101</v>
      </c>
      <c r="C14" s="392" t="s">
        <v>102</v>
      </c>
      <c r="D14" s="285">
        <f>D10-D12</f>
        <v>580426225.90790677</v>
      </c>
      <c r="E14" s="285">
        <f>E10-E12</f>
        <v>247832727.2705884</v>
      </c>
    </row>
    <row r="15" spans="1:5" ht="12.75" customHeight="1">
      <c r="A15" s="392">
        <f t="shared" si="0"/>
        <v>7</v>
      </c>
      <c r="B15" s="315"/>
      <c r="C15" s="392"/>
      <c r="D15" s="315"/>
      <c r="E15" s="315"/>
    </row>
    <row r="16" spans="1:5" ht="12.75" customHeight="1">
      <c r="A16" s="392">
        <f t="shared" si="0"/>
        <v>8</v>
      </c>
      <c r="B16" s="315" t="s">
        <v>103</v>
      </c>
      <c r="C16" s="392" t="s">
        <v>99</v>
      </c>
      <c r="D16" s="361">
        <f>'CY2015 Data'!B18</f>
        <v>559986254.07906699</v>
      </c>
      <c r="E16" s="361">
        <f>'CY2015 Data'!B19</f>
        <v>302270076.91219813</v>
      </c>
    </row>
    <row r="17" spans="1:5" ht="12.75" customHeight="1">
      <c r="A17" s="392">
        <f t="shared" si="0"/>
        <v>9</v>
      </c>
      <c r="B17" s="315"/>
      <c r="C17" s="392"/>
      <c r="D17" s="315"/>
      <c r="E17" s="315"/>
    </row>
    <row r="18" spans="1:5" ht="12.75" customHeight="1">
      <c r="A18" s="392">
        <f t="shared" si="0"/>
        <v>10</v>
      </c>
      <c r="B18" s="315" t="s">
        <v>104</v>
      </c>
      <c r="C18" s="392" t="s">
        <v>105</v>
      </c>
      <c r="D18" s="286">
        <f>ROUND(D14/D16,5)</f>
        <v>1.0365</v>
      </c>
      <c r="E18" s="286">
        <f t="shared" ref="E18" si="1">ROUND(E14/E16,5)</f>
        <v>0.81989999999999996</v>
      </c>
    </row>
    <row r="19" spans="1:5" ht="12.75" customHeight="1">
      <c r="A19" s="392">
        <f t="shared" si="0"/>
        <v>11</v>
      </c>
      <c r="B19" s="315"/>
      <c r="C19" s="392"/>
      <c r="D19" s="286"/>
      <c r="E19" s="286"/>
    </row>
    <row r="20" spans="1:5" ht="12.75" customHeight="1">
      <c r="A20" s="392">
        <f t="shared" si="0"/>
        <v>12</v>
      </c>
      <c r="B20" s="315" t="s">
        <v>106</v>
      </c>
      <c r="C20" s="392" t="s">
        <v>107</v>
      </c>
      <c r="D20" s="458">
        <v>3.9300000000000002E-2</v>
      </c>
      <c r="E20" s="458">
        <v>2.8359999999999996E-2</v>
      </c>
    </row>
    <row r="21" spans="1:5" ht="12.75" customHeight="1">
      <c r="A21" s="392">
        <f t="shared" si="0"/>
        <v>13</v>
      </c>
      <c r="B21" s="315"/>
      <c r="C21" s="392"/>
      <c r="D21" s="286"/>
      <c r="E21" s="286"/>
    </row>
    <row r="22" spans="1:5" ht="12.75" customHeight="1">
      <c r="A22" s="392">
        <f t="shared" si="0"/>
        <v>14</v>
      </c>
      <c r="B22" s="315" t="s">
        <v>108</v>
      </c>
      <c r="C22" s="392" t="s">
        <v>109</v>
      </c>
      <c r="D22" s="286">
        <f>D18+D20</f>
        <v>1.0758000000000001</v>
      </c>
      <c r="E22" s="286">
        <f>E18+E20</f>
        <v>0.84826000000000001</v>
      </c>
    </row>
    <row r="23" spans="1:5" ht="12.75" customHeight="1">
      <c r="A23" s="392">
        <f t="shared" si="0"/>
        <v>15</v>
      </c>
      <c r="B23" s="315"/>
      <c r="C23" s="392"/>
      <c r="D23" s="286"/>
      <c r="E23" s="286"/>
    </row>
    <row r="24" spans="1:5" ht="12.75" customHeight="1">
      <c r="A24" s="392">
        <f t="shared" si="0"/>
        <v>16</v>
      </c>
      <c r="B24" s="315" t="s">
        <v>110</v>
      </c>
      <c r="C24" s="392" t="s">
        <v>111</v>
      </c>
      <c r="D24" s="363">
        <f>'Rate Change Calc'!D40</f>
        <v>0.11795</v>
      </c>
      <c r="E24" s="363">
        <f>'Rate Change Calc'!E40</f>
        <v>4.9470000000000014E-2</v>
      </c>
    </row>
    <row r="25" spans="1:5" ht="12.75" customHeight="1">
      <c r="A25" s="392">
        <f t="shared" si="0"/>
        <v>17</v>
      </c>
      <c r="B25" s="315"/>
      <c r="C25" s="392"/>
      <c r="D25" s="315"/>
      <c r="E25" s="315"/>
    </row>
    <row r="26" spans="1:5" ht="12.75" customHeight="1">
      <c r="A26" s="392">
        <f t="shared" si="0"/>
        <v>18</v>
      </c>
      <c r="B26" s="315" t="s">
        <v>112</v>
      </c>
      <c r="C26" s="392" t="s">
        <v>113</v>
      </c>
      <c r="D26" s="286">
        <f>D24-D20</f>
        <v>7.8649999999999998E-2</v>
      </c>
      <c r="E26" s="286">
        <f>E24-E20</f>
        <v>2.1110000000000018E-2</v>
      </c>
    </row>
    <row r="27" spans="1:5" ht="12.75" customHeight="1">
      <c r="A27" s="392">
        <f t="shared" si="0"/>
        <v>19</v>
      </c>
      <c r="B27" s="315"/>
      <c r="C27" s="392"/>
      <c r="D27" s="315"/>
      <c r="E27" s="315"/>
    </row>
    <row r="28" spans="1:5" ht="12.75" customHeight="1">
      <c r="A28" s="392">
        <f t="shared" si="0"/>
        <v>20</v>
      </c>
      <c r="B28" s="315" t="s">
        <v>114</v>
      </c>
      <c r="C28" s="392" t="s">
        <v>115</v>
      </c>
      <c r="D28" s="234">
        <f>D26/D22</f>
        <v>7.3108384458077699E-2</v>
      </c>
      <c r="E28" s="234">
        <f>E26/E22</f>
        <v>2.4886237710136063E-2</v>
      </c>
    </row>
    <row r="29" spans="1:5" ht="12.75" customHeight="1">
      <c r="A29" s="392">
        <f t="shared" si="0"/>
        <v>21</v>
      </c>
      <c r="B29" s="315"/>
      <c r="C29" s="392"/>
      <c r="D29" s="315"/>
      <c r="E29" s="315"/>
    </row>
    <row r="30" spans="1:5" ht="12.75" customHeight="1">
      <c r="A30" s="392">
        <f t="shared" si="0"/>
        <v>22</v>
      </c>
      <c r="B30" s="315" t="s">
        <v>116</v>
      </c>
      <c r="C30" s="392" t="s">
        <v>58</v>
      </c>
      <c r="D30" s="235">
        <f>IF(D28&gt;3%,D28-3%,0)</f>
        <v>4.31083844580777E-2</v>
      </c>
      <c r="E30" s="235">
        <f>IF(E28&gt;3%,E28-3%,0)</f>
        <v>0</v>
      </c>
    </row>
    <row r="31" spans="1:5" ht="12.75" customHeight="1">
      <c r="A31" s="392">
        <f t="shared" si="0"/>
        <v>23</v>
      </c>
      <c r="B31" s="315"/>
      <c r="C31" s="392"/>
      <c r="D31" s="315"/>
      <c r="E31" s="315"/>
    </row>
    <row r="32" spans="1:5" ht="12.75" customHeight="1">
      <c r="A32" s="392">
        <f t="shared" si="0"/>
        <v>24</v>
      </c>
      <c r="B32" s="315" t="s">
        <v>117</v>
      </c>
      <c r="C32" s="392" t="s">
        <v>118</v>
      </c>
      <c r="D32" s="236">
        <f>ROUND(D30*D22,5)</f>
        <v>4.6379999999999998E-2</v>
      </c>
      <c r="E32" s="236">
        <f>ROUND(E30*E22,5)</f>
        <v>0</v>
      </c>
    </row>
    <row r="33" spans="1:5" ht="12.75" customHeight="1">
      <c r="A33" s="392">
        <f t="shared" si="0"/>
        <v>25</v>
      </c>
      <c r="B33" s="315"/>
      <c r="C33" s="315"/>
      <c r="D33" s="286"/>
      <c r="E33" s="286"/>
    </row>
    <row r="34" spans="1:5" ht="12.75" customHeight="1">
      <c r="A34" s="392">
        <f t="shared" si="0"/>
        <v>26</v>
      </c>
      <c r="B34" s="315" t="s">
        <v>119</v>
      </c>
      <c r="C34" s="392" t="s">
        <v>120</v>
      </c>
      <c r="D34" s="286">
        <f>D24-D32</f>
        <v>7.1569999999999995E-2</v>
      </c>
      <c r="E34" s="286">
        <f>E24-E32</f>
        <v>4.9470000000000014E-2</v>
      </c>
    </row>
    <row r="35" spans="1:5" ht="12.75" customHeight="1">
      <c r="A35" s="392">
        <f t="shared" si="0"/>
        <v>27</v>
      </c>
      <c r="B35" s="315"/>
      <c r="C35" s="315"/>
      <c r="D35" s="315"/>
      <c r="E35" s="315"/>
    </row>
    <row r="36" spans="1:5" ht="12.75" customHeight="1">
      <c r="A36" s="392">
        <f t="shared" si="0"/>
        <v>28</v>
      </c>
      <c r="B36" s="315" t="str">
        <f>'Rate Change Calc'!B54</f>
        <v xml:space="preserve">* Includes Schedules 31, 31T, 41, 41T, 86, &amp; 86T.  </v>
      </c>
      <c r="C36" s="315"/>
      <c r="D36" s="315"/>
      <c r="E36" s="315"/>
    </row>
    <row r="37" spans="1:5" ht="12.75" customHeight="1">
      <c r="A37" s="392">
        <f t="shared" si="0"/>
        <v>29</v>
      </c>
      <c r="B37" s="315" t="s">
        <v>121</v>
      </c>
      <c r="C37" s="315"/>
      <c r="D37" s="315"/>
      <c r="E37" s="315"/>
    </row>
    <row r="38" spans="1:5" ht="12.75" customHeight="1">
      <c r="A38" s="315"/>
      <c r="B38" s="315"/>
      <c r="C38" s="315"/>
      <c r="D38" s="315"/>
      <c r="E38" s="315"/>
    </row>
    <row r="39" spans="1:5" ht="12.75" customHeight="1">
      <c r="A39" s="315"/>
      <c r="B39" s="315"/>
      <c r="C39" s="315"/>
      <c r="D39" s="317"/>
      <c r="E39" s="315"/>
    </row>
    <row r="40" spans="1:5" ht="12.75" customHeight="1">
      <c r="A40" s="315"/>
      <c r="B40" s="315"/>
      <c r="C40" s="315"/>
      <c r="D40" s="315"/>
      <c r="E40" s="315"/>
    </row>
  </sheetData>
  <mergeCells count="4">
    <mergeCell ref="A1:E1"/>
    <mergeCell ref="A2:E2"/>
    <mergeCell ref="A3:E3"/>
    <mergeCell ref="A4:E4"/>
  </mergeCells>
  <printOptions horizontalCentered="1"/>
  <pageMargins left="0.7" right="0.7" top="0.75" bottom="0.75" header="0.3" footer="0.3"/>
  <pageSetup scale="90"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F33"/>
  <sheetViews>
    <sheetView zoomScale="83" workbookViewId="0">
      <selection activeCell="I68" sqref="I68"/>
    </sheetView>
  </sheetViews>
  <sheetFormatPr baseColWidth="10" defaultColWidth="9.1640625" defaultRowHeight="12.75" customHeight="1"/>
  <cols>
    <col min="1" max="1" width="5.33203125" style="299" customWidth="1"/>
    <col min="2" max="2" width="36.6640625" style="298" customWidth="1"/>
    <col min="3" max="3" width="5.6640625" style="298" customWidth="1"/>
    <col min="4" max="4" width="17.6640625" style="298" bestFit="1" customWidth="1"/>
    <col min="5" max="5" width="5.6640625" style="298" bestFit="1" customWidth="1"/>
    <col min="6" max="6" width="34.1640625" style="298" bestFit="1" customWidth="1"/>
    <col min="7" max="16384" width="9.1640625" style="298"/>
  </cols>
  <sheetData>
    <row r="1" spans="1:6" ht="12.75" customHeight="1">
      <c r="A1" s="617" t="s">
        <v>22</v>
      </c>
      <c r="B1" s="618"/>
      <c r="C1" s="618"/>
      <c r="D1" s="618"/>
      <c r="E1" s="618"/>
      <c r="F1" s="618"/>
    </row>
    <row r="2" spans="1:6" ht="12.75" customHeight="1">
      <c r="A2" s="619" t="str">
        <f>'Rate Change Calc'!A2:E2</f>
        <v>2016 Gas Decoupling Filing</v>
      </c>
      <c r="B2" s="620"/>
      <c r="C2" s="620"/>
      <c r="D2" s="620"/>
      <c r="E2" s="620"/>
      <c r="F2" s="620"/>
    </row>
    <row r="3" spans="1:6" ht="12.75" customHeight="1">
      <c r="A3" s="618" t="s">
        <v>122</v>
      </c>
      <c r="B3" s="618"/>
      <c r="C3" s="618"/>
      <c r="D3" s="618"/>
      <c r="E3" s="618"/>
      <c r="F3" s="618"/>
    </row>
    <row r="4" spans="1:6" ht="12.75" customHeight="1">
      <c r="A4" s="620" t="str">
        <f>'Rate Change Calc'!A4:E4</f>
        <v>Proposed Effective May 1, 2016</v>
      </c>
      <c r="B4" s="620"/>
      <c r="C4" s="620"/>
      <c r="D4" s="620"/>
      <c r="E4" s="620"/>
      <c r="F4" s="620"/>
    </row>
    <row r="6" spans="1:6" ht="25.5" customHeight="1" thickBot="1">
      <c r="A6" s="318" t="s">
        <v>26</v>
      </c>
      <c r="B6" s="319"/>
      <c r="C6" s="320"/>
      <c r="D6" s="319" t="s">
        <v>58</v>
      </c>
      <c r="E6" s="319"/>
      <c r="F6" s="319" t="s">
        <v>27</v>
      </c>
    </row>
    <row r="7" spans="1:6" ht="12.75" customHeight="1">
      <c r="B7" s="299" t="s">
        <v>30</v>
      </c>
      <c r="C7" s="326"/>
      <c r="D7" s="299" t="s">
        <v>31</v>
      </c>
      <c r="E7" s="326"/>
      <c r="F7" s="299" t="s">
        <v>32</v>
      </c>
    </row>
    <row r="9" spans="1:6" ht="12.75" customHeight="1">
      <c r="A9" s="299">
        <v>1</v>
      </c>
      <c r="B9" s="326" t="s">
        <v>123</v>
      </c>
      <c r="C9" s="326"/>
      <c r="D9" s="457">
        <v>1706005751.3643975</v>
      </c>
      <c r="E9" s="326"/>
      <c r="F9" s="316" t="s">
        <v>124</v>
      </c>
    </row>
    <row r="10" spans="1:6" ht="12.75" customHeight="1">
      <c r="B10" s="326"/>
      <c r="C10" s="326"/>
      <c r="D10" s="322"/>
      <c r="E10" s="326"/>
      <c r="F10" s="316"/>
    </row>
    <row r="11" spans="1:6" ht="12.75" customHeight="1">
      <c r="A11" s="299">
        <v>2</v>
      </c>
      <c r="B11" s="326" t="s">
        <v>125</v>
      </c>
      <c r="C11" s="326"/>
      <c r="D11" s="444">
        <v>7.7700000000000005E-2</v>
      </c>
      <c r="E11" s="326"/>
      <c r="F11" s="316" t="s">
        <v>126</v>
      </c>
    </row>
    <row r="12" spans="1:6" ht="12.75" customHeight="1">
      <c r="B12" s="326"/>
      <c r="C12" s="326"/>
      <c r="D12" s="322"/>
      <c r="E12" s="326"/>
      <c r="F12" s="316"/>
    </row>
    <row r="13" spans="1:6" ht="12.75" customHeight="1">
      <c r="A13" s="299">
        <v>3</v>
      </c>
      <c r="B13" s="326" t="s">
        <v>127</v>
      </c>
      <c r="C13" s="326"/>
      <c r="D13" s="222">
        <f>ROUND(D9*D11,0)</f>
        <v>132556647</v>
      </c>
      <c r="E13" s="326"/>
      <c r="F13" s="316" t="s">
        <v>128</v>
      </c>
    </row>
    <row r="14" spans="1:6" ht="12.75" customHeight="1">
      <c r="B14" s="326"/>
      <c r="C14" s="326"/>
      <c r="D14" s="322"/>
      <c r="E14" s="326"/>
      <c r="F14" s="316"/>
    </row>
    <row r="15" spans="1:6" ht="12.75" customHeight="1">
      <c r="A15" s="299">
        <v>4</v>
      </c>
      <c r="B15" s="326" t="s">
        <v>129</v>
      </c>
      <c r="C15" s="326"/>
      <c r="D15" s="457">
        <v>139397960.05851722</v>
      </c>
      <c r="E15" s="326"/>
      <c r="F15" s="316" t="s">
        <v>130</v>
      </c>
    </row>
    <row r="16" spans="1:6" ht="12.75" customHeight="1">
      <c r="B16" s="326"/>
      <c r="C16" s="326"/>
      <c r="D16" s="222"/>
      <c r="E16" s="326"/>
      <c r="F16" s="316"/>
    </row>
    <row r="17" spans="1:6" ht="12.75" customHeight="1">
      <c r="A17" s="299">
        <v>5</v>
      </c>
      <c r="B17" s="326" t="s">
        <v>131</v>
      </c>
      <c r="C17" s="326"/>
      <c r="D17" s="222">
        <f>ROUND(D15-D13,0)</f>
        <v>6841313</v>
      </c>
      <c r="E17" s="326"/>
      <c r="F17" s="316" t="s">
        <v>132</v>
      </c>
    </row>
    <row r="18" spans="1:6" s="326" customFormat="1" ht="12.75" customHeight="1">
      <c r="A18" s="299"/>
      <c r="D18" s="222"/>
      <c r="F18" s="316"/>
    </row>
    <row r="19" spans="1:6" s="326" customFormat="1" ht="12.75" customHeight="1">
      <c r="A19" s="299">
        <v>6</v>
      </c>
      <c r="B19" s="326" t="s">
        <v>133</v>
      </c>
      <c r="D19" s="222">
        <f>IF(D17&lt;0,0,D17)</f>
        <v>6841313</v>
      </c>
      <c r="F19" s="316" t="s">
        <v>134</v>
      </c>
    </row>
    <row r="20" spans="1:6" ht="12.75" customHeight="1">
      <c r="B20" s="326"/>
      <c r="C20" s="326"/>
      <c r="D20" s="322"/>
      <c r="E20" s="326"/>
      <c r="F20" s="316"/>
    </row>
    <row r="21" spans="1:6" ht="12.75" customHeight="1">
      <c r="A21" s="299">
        <v>7</v>
      </c>
      <c r="B21" s="326" t="s">
        <v>135</v>
      </c>
      <c r="C21" s="326"/>
      <c r="D21" s="300">
        <v>0.5</v>
      </c>
      <c r="E21" s="326"/>
      <c r="F21" s="316" t="s">
        <v>41</v>
      </c>
    </row>
    <row r="22" spans="1:6" ht="12.75" customHeight="1">
      <c r="B22" s="326"/>
      <c r="C22" s="326"/>
      <c r="D22" s="322"/>
      <c r="E22" s="326"/>
      <c r="F22" s="316"/>
    </row>
    <row r="23" spans="1:6" ht="12.75" customHeight="1">
      <c r="A23" s="299">
        <v>8</v>
      </c>
      <c r="B23" s="326" t="s">
        <v>136</v>
      </c>
      <c r="C23" s="326"/>
      <c r="D23" s="222">
        <f>ROUND(D19*D21,0)</f>
        <v>3420657</v>
      </c>
      <c r="E23" s="326"/>
      <c r="F23" s="316" t="s">
        <v>137</v>
      </c>
    </row>
    <row r="24" spans="1:6" ht="12.75" customHeight="1">
      <c r="B24" s="326"/>
      <c r="C24" s="326"/>
      <c r="D24" s="322"/>
      <c r="E24" s="326"/>
      <c r="F24" s="316"/>
    </row>
    <row r="25" spans="1:6" ht="12.75" customHeight="1">
      <c r="A25" s="299">
        <v>9</v>
      </c>
      <c r="B25" s="326" t="s">
        <v>138</v>
      </c>
      <c r="C25" s="326"/>
      <c r="D25" s="351">
        <f>'Gas ERF UG-130138 Conv Fctr'!E21</f>
        <v>0.62133499999999997</v>
      </c>
      <c r="E25" s="326"/>
      <c r="F25" s="305" t="s">
        <v>139</v>
      </c>
    </row>
    <row r="27" spans="1:6" ht="12.75" customHeight="1">
      <c r="A27" s="299">
        <v>10</v>
      </c>
      <c r="B27" s="326" t="s">
        <v>140</v>
      </c>
      <c r="C27" s="326"/>
      <c r="D27" s="222">
        <f>ROUND(D23/D25,0)</f>
        <v>5505334</v>
      </c>
      <c r="E27" s="326"/>
      <c r="F27" s="301" t="s">
        <v>141</v>
      </c>
    </row>
    <row r="29" spans="1:6" ht="12.75" customHeight="1">
      <c r="B29" s="326"/>
      <c r="C29" s="326"/>
      <c r="D29" s="302"/>
      <c r="E29" s="326"/>
      <c r="F29" s="326"/>
    </row>
    <row r="31" spans="1:6" ht="12.75" customHeight="1">
      <c r="B31" s="326"/>
      <c r="C31" s="326"/>
      <c r="D31" s="303"/>
      <c r="E31" s="326"/>
      <c r="F31" s="326"/>
    </row>
    <row r="33" spans="4:4" ht="12.75" customHeight="1">
      <c r="D33" s="304"/>
    </row>
  </sheetData>
  <mergeCells count="4">
    <mergeCell ref="A1:F1"/>
    <mergeCell ref="A2:F2"/>
    <mergeCell ref="A3:F3"/>
    <mergeCell ref="A4:F4"/>
  </mergeCells>
  <printOptions horizontalCentered="1"/>
  <pageMargins left="0.7" right="0.7" top="0.75" bottom="0.75" header="0.3" footer="0.3"/>
  <pageSetup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33"/>
  <sheetViews>
    <sheetView workbookViewId="0">
      <selection activeCell="I68" sqref="I68"/>
    </sheetView>
  </sheetViews>
  <sheetFormatPr baseColWidth="10" defaultColWidth="9.1640625" defaultRowHeight="12.75" customHeight="1"/>
  <cols>
    <col min="1" max="1" width="6" style="32" customWidth="1"/>
    <col min="2" max="2" width="50.1640625" style="32" customWidth="1"/>
    <col min="3" max="3" width="19.5" style="32" bestFit="1" customWidth="1"/>
    <col min="4" max="4" width="19.5" style="32" customWidth="1"/>
    <col min="5" max="5" width="16.5" style="32" customWidth="1"/>
    <col min="6" max="6" width="17.6640625" style="32" customWidth="1"/>
    <col min="7" max="16384" width="9.1640625" style="32"/>
  </cols>
  <sheetData>
    <row r="1" spans="1:14" ht="12.75" customHeight="1">
      <c r="A1" s="609" t="s">
        <v>22</v>
      </c>
      <c r="B1" s="609"/>
      <c r="C1" s="609"/>
      <c r="D1" s="609"/>
      <c r="E1" s="609"/>
      <c r="F1" s="609"/>
      <c r="G1" s="226"/>
      <c r="H1" s="226"/>
      <c r="I1" s="329"/>
      <c r="J1" s="329"/>
      <c r="K1" s="329"/>
      <c r="L1" s="329"/>
      <c r="M1" s="329"/>
      <c r="N1" s="329"/>
    </row>
    <row r="2" spans="1:14" ht="12.75" customHeight="1">
      <c r="A2" s="616" t="str">
        <f>'Rate Change Calc'!A2:E2</f>
        <v>2016 Gas Decoupling Filing</v>
      </c>
      <c r="B2" s="616"/>
      <c r="C2" s="616"/>
      <c r="D2" s="616"/>
      <c r="E2" s="616"/>
      <c r="F2" s="616"/>
      <c r="G2" s="226"/>
      <c r="H2" s="226"/>
      <c r="I2" s="329"/>
      <c r="J2" s="329"/>
      <c r="K2" s="329"/>
      <c r="L2" s="329"/>
      <c r="M2" s="329"/>
      <c r="N2" s="329"/>
    </row>
    <row r="3" spans="1:14" ht="12.75" customHeight="1">
      <c r="A3" s="609" t="s">
        <v>142</v>
      </c>
      <c r="B3" s="609"/>
      <c r="C3" s="609"/>
      <c r="D3" s="609"/>
      <c r="E3" s="609"/>
      <c r="F3" s="609"/>
      <c r="G3" s="226"/>
      <c r="H3" s="226"/>
      <c r="I3" s="329"/>
      <c r="J3" s="329"/>
      <c r="K3" s="329"/>
      <c r="L3" s="329"/>
      <c r="M3" s="329"/>
      <c r="N3" s="329"/>
    </row>
    <row r="4" spans="1:14" ht="12.75" customHeight="1">
      <c r="A4" s="621" t="str">
        <f>'Rate Change Calc'!A4:E4</f>
        <v>Proposed Effective May 1, 2016</v>
      </c>
      <c r="B4" s="621"/>
      <c r="C4" s="621"/>
      <c r="D4" s="621"/>
      <c r="E4" s="621"/>
      <c r="F4" s="621"/>
      <c r="G4" s="226"/>
      <c r="H4" s="226"/>
      <c r="I4" s="329"/>
      <c r="J4" s="329"/>
      <c r="K4" s="329"/>
      <c r="L4" s="329"/>
      <c r="M4" s="329"/>
      <c r="N4" s="329"/>
    </row>
    <row r="5" spans="1:14" ht="12.75" customHeight="1">
      <c r="A5" s="315"/>
      <c r="B5" s="315"/>
      <c r="C5" s="315"/>
      <c r="D5" s="315"/>
      <c r="E5" s="315"/>
      <c r="F5" s="315"/>
      <c r="G5" s="315"/>
      <c r="H5" s="315"/>
      <c r="I5" s="316"/>
      <c r="J5" s="316"/>
      <c r="K5" s="316"/>
      <c r="L5" s="316"/>
      <c r="M5" s="316"/>
      <c r="N5" s="316"/>
    </row>
    <row r="6" spans="1:14" ht="12.75" customHeight="1">
      <c r="A6" s="315"/>
      <c r="B6" s="315"/>
      <c r="C6" s="315"/>
      <c r="D6" s="315"/>
      <c r="E6" s="315"/>
      <c r="F6" s="315"/>
      <c r="G6" s="315"/>
      <c r="H6" s="315"/>
      <c r="I6" s="316"/>
      <c r="J6" s="316"/>
      <c r="K6" s="316"/>
      <c r="L6" s="316"/>
      <c r="M6" s="316"/>
      <c r="N6" s="316"/>
    </row>
    <row r="7" spans="1:14" ht="25.5" customHeight="1">
      <c r="A7" s="289" t="s">
        <v>26</v>
      </c>
      <c r="B7" s="227"/>
      <c r="C7" s="289" t="s">
        <v>27</v>
      </c>
      <c r="D7" s="289" t="s">
        <v>143</v>
      </c>
      <c r="E7" s="289" t="s">
        <v>28</v>
      </c>
      <c r="F7" s="289" t="s">
        <v>144</v>
      </c>
      <c r="G7" s="315"/>
      <c r="H7" s="315"/>
      <c r="I7" s="316"/>
      <c r="J7" s="316"/>
      <c r="K7" s="316"/>
      <c r="L7" s="316"/>
      <c r="M7" s="316"/>
      <c r="N7" s="316"/>
    </row>
    <row r="8" spans="1:14" ht="12.75" customHeight="1">
      <c r="A8" s="315"/>
      <c r="B8" s="392" t="s">
        <v>30</v>
      </c>
      <c r="C8" s="392" t="s">
        <v>31</v>
      </c>
      <c r="D8" s="392" t="s">
        <v>32</v>
      </c>
      <c r="E8" s="392" t="s">
        <v>33</v>
      </c>
      <c r="F8" s="392" t="s">
        <v>145</v>
      </c>
      <c r="G8" s="315"/>
      <c r="H8" s="315"/>
      <c r="I8" s="316"/>
      <c r="J8" s="316"/>
      <c r="K8" s="316"/>
      <c r="L8" s="316"/>
      <c r="M8" s="316"/>
      <c r="N8" s="316"/>
    </row>
    <row r="9" spans="1:14" ht="12.75" customHeight="1">
      <c r="A9" s="392">
        <v>1</v>
      </c>
      <c r="B9" s="228"/>
      <c r="C9" s="392"/>
      <c r="D9" s="392"/>
      <c r="E9" s="392"/>
      <c r="F9" s="392"/>
      <c r="G9" s="315"/>
      <c r="H9" s="315"/>
      <c r="I9" s="316"/>
      <c r="J9" s="316"/>
      <c r="K9" s="316"/>
      <c r="L9" s="316"/>
      <c r="M9" s="316"/>
      <c r="N9" s="316"/>
    </row>
    <row r="10" spans="1:14" ht="12.75" customHeight="1">
      <c r="A10" s="392">
        <f t="shared" ref="A10:A18" si="0">A9+1</f>
        <v>2</v>
      </c>
      <c r="B10" s="315" t="s">
        <v>146</v>
      </c>
      <c r="C10" s="229" t="s">
        <v>99</v>
      </c>
      <c r="D10" s="290">
        <f>SUM(E10:F10)</f>
        <v>441796868</v>
      </c>
      <c r="E10" s="291">
        <f>'Gas Margin Calc'!C19</f>
        <v>326007065</v>
      </c>
      <c r="F10" s="291">
        <f>'Gas Margin Calc'!C20</f>
        <v>115789803</v>
      </c>
      <c r="G10" s="315"/>
      <c r="H10" s="315"/>
      <c r="I10" s="316"/>
      <c r="J10" s="316"/>
      <c r="K10" s="316"/>
      <c r="L10" s="316"/>
      <c r="M10" s="316"/>
      <c r="N10" s="316"/>
    </row>
    <row r="11" spans="1:14" ht="12.75" customHeight="1">
      <c r="A11" s="392">
        <f t="shared" si="0"/>
        <v>3</v>
      </c>
      <c r="B11" s="315"/>
      <c r="C11" s="392"/>
      <c r="D11" s="392"/>
      <c r="E11" s="315"/>
      <c r="F11" s="315"/>
      <c r="G11" s="315"/>
      <c r="H11" s="315"/>
      <c r="I11" s="316"/>
      <c r="J11" s="316"/>
      <c r="K11" s="316"/>
      <c r="L11" s="316"/>
      <c r="M11" s="316"/>
      <c r="N11" s="316"/>
    </row>
    <row r="12" spans="1:14" ht="12.75" customHeight="1">
      <c r="A12" s="392">
        <f t="shared" si="0"/>
        <v>4</v>
      </c>
      <c r="B12" s="315" t="s">
        <v>147</v>
      </c>
      <c r="C12" s="229" t="s">
        <v>148</v>
      </c>
      <c r="D12" s="229"/>
      <c r="E12" s="292">
        <f>ROUND(E10/$D$10,4)</f>
        <v>0.7379</v>
      </c>
      <c r="F12" s="292">
        <f>ROUND(F10/$D$10,4)</f>
        <v>0.2621</v>
      </c>
      <c r="G12" s="315"/>
      <c r="H12" s="315"/>
      <c r="I12" s="316"/>
      <c r="J12" s="316"/>
      <c r="K12" s="316"/>
      <c r="L12" s="316"/>
      <c r="M12" s="316"/>
      <c r="N12" s="316"/>
    </row>
    <row r="13" spans="1:14" ht="12.75" customHeight="1">
      <c r="A13" s="392">
        <f t="shared" si="0"/>
        <v>5</v>
      </c>
      <c r="B13" s="315"/>
      <c r="C13" s="229"/>
      <c r="D13" s="229"/>
      <c r="E13" s="285"/>
      <c r="F13" s="285"/>
      <c r="G13" s="315"/>
      <c r="H13" s="315"/>
      <c r="I13" s="316"/>
      <c r="J13" s="316"/>
      <c r="K13" s="316"/>
      <c r="L13" s="316"/>
      <c r="M13" s="316"/>
      <c r="N13" s="316"/>
    </row>
    <row r="14" spans="1:14" ht="12.75" customHeight="1">
      <c r="A14" s="392">
        <f t="shared" si="0"/>
        <v>6</v>
      </c>
      <c r="B14" s="315" t="s">
        <v>149</v>
      </c>
      <c r="C14" s="392" t="s">
        <v>150</v>
      </c>
      <c r="D14" s="293">
        <f>'Gas Earn Test'!D27</f>
        <v>5505334</v>
      </c>
      <c r="E14" s="285"/>
      <c r="F14" s="285"/>
      <c r="G14" s="315"/>
      <c r="H14" s="315"/>
      <c r="I14" s="316"/>
      <c r="J14" s="316"/>
      <c r="K14" s="316"/>
      <c r="L14" s="316"/>
      <c r="M14" s="316"/>
      <c r="N14" s="316"/>
    </row>
    <row r="15" spans="1:14" ht="12.75" customHeight="1">
      <c r="A15" s="392">
        <f t="shared" si="0"/>
        <v>7</v>
      </c>
      <c r="B15" s="315"/>
      <c r="C15" s="229"/>
      <c r="D15" s="229"/>
      <c r="E15" s="315"/>
      <c r="F15" s="315"/>
      <c r="G15" s="315"/>
      <c r="H15" s="315"/>
      <c r="I15" s="316"/>
      <c r="J15" s="316"/>
      <c r="K15" s="316"/>
      <c r="L15" s="316"/>
      <c r="M15" s="316"/>
      <c r="N15" s="316"/>
    </row>
    <row r="16" spans="1:14" ht="12.75" customHeight="1">
      <c r="A16" s="392">
        <f t="shared" si="0"/>
        <v>8</v>
      </c>
      <c r="B16" s="315" t="s">
        <v>151</v>
      </c>
      <c r="C16" s="229" t="s">
        <v>152</v>
      </c>
      <c r="D16" s="290"/>
      <c r="E16" s="290">
        <f>IF($D$14&gt;0,$D$14*E12,0)</f>
        <v>4062385.9586</v>
      </c>
      <c r="F16" s="290">
        <f>IF($D$14&gt;0,$D$14*F12,0)</f>
        <v>1442948.0414</v>
      </c>
      <c r="G16" s="315"/>
      <c r="H16" s="315"/>
      <c r="I16" s="316"/>
      <c r="J16" s="316"/>
      <c r="K16" s="316"/>
      <c r="L16" s="316"/>
      <c r="M16" s="316"/>
      <c r="N16" s="316"/>
    </row>
    <row r="17" spans="1:8" ht="12.75" customHeight="1">
      <c r="A17" s="392">
        <f t="shared" si="0"/>
        <v>9</v>
      </c>
      <c r="B17" s="315"/>
      <c r="C17" s="229"/>
      <c r="D17" s="315"/>
      <c r="E17" s="285"/>
      <c r="F17" s="285"/>
      <c r="G17" s="315"/>
      <c r="H17" s="315"/>
    </row>
    <row r="18" spans="1:8" ht="12.75" customHeight="1">
      <c r="A18" s="392">
        <f t="shared" si="0"/>
        <v>10</v>
      </c>
      <c r="B18" s="315" t="str">
        <f>'Rate Change Calc'!B54</f>
        <v xml:space="preserve">* Includes Schedules 31, 31T, 41, 41T, 86, &amp; 86T.  </v>
      </c>
      <c r="C18" s="315"/>
      <c r="D18" s="315"/>
      <c r="E18" s="285"/>
      <c r="F18" s="285"/>
      <c r="G18" s="315"/>
      <c r="H18" s="315"/>
    </row>
    <row r="19" spans="1:8" ht="12.75" customHeight="1">
      <c r="A19" s="392"/>
      <c r="B19" s="315"/>
      <c r="C19" s="315"/>
      <c r="D19" s="315"/>
      <c r="E19" s="285"/>
      <c r="F19" s="285"/>
      <c r="G19" s="315"/>
      <c r="H19" s="315"/>
    </row>
    <row r="20" spans="1:8" ht="12.75" customHeight="1">
      <c r="A20" s="315"/>
      <c r="B20" s="315"/>
      <c r="C20" s="315"/>
      <c r="D20" s="315"/>
      <c r="E20" s="315"/>
      <c r="F20" s="315"/>
      <c r="G20" s="315"/>
      <c r="H20" s="315"/>
    </row>
    <row r="21" spans="1:8" ht="12.75" customHeight="1">
      <c r="A21" s="315"/>
      <c r="B21" s="315"/>
      <c r="C21" s="315"/>
      <c r="D21" s="315"/>
      <c r="E21" s="315"/>
      <c r="F21" s="315"/>
      <c r="G21" s="315"/>
      <c r="H21" s="315"/>
    </row>
    <row r="22" spans="1:8" ht="12.75" customHeight="1">
      <c r="A22" s="315"/>
      <c r="B22" s="315"/>
      <c r="C22" s="315"/>
      <c r="D22" s="315"/>
      <c r="E22" s="315"/>
      <c r="F22" s="315"/>
      <c r="G22" s="315"/>
      <c r="H22" s="315"/>
    </row>
    <row r="23" spans="1:8" ht="12.75" customHeight="1">
      <c r="A23" s="315"/>
      <c r="B23" s="315"/>
      <c r="C23" s="315"/>
      <c r="D23" s="315"/>
      <c r="E23" s="315"/>
      <c r="F23" s="315"/>
      <c r="G23" s="315"/>
      <c r="H23" s="315"/>
    </row>
    <row r="24" spans="1:8" ht="12.75" customHeight="1">
      <c r="A24" s="315"/>
      <c r="B24" s="315"/>
      <c r="C24" s="315"/>
      <c r="D24" s="315"/>
      <c r="E24" s="315"/>
      <c r="F24" s="315"/>
      <c r="G24" s="315"/>
      <c r="H24" s="315"/>
    </row>
    <row r="25" spans="1:8" ht="12.75" customHeight="1">
      <c r="A25" s="315"/>
      <c r="B25" s="315"/>
      <c r="C25" s="315"/>
      <c r="D25" s="315"/>
      <c r="E25" s="315"/>
      <c r="F25" s="315"/>
      <c r="G25" s="315"/>
      <c r="H25" s="315"/>
    </row>
    <row r="26" spans="1:8" ht="12.75" customHeight="1">
      <c r="A26" s="315"/>
      <c r="B26" s="315"/>
      <c r="C26" s="315"/>
      <c r="D26" s="315"/>
      <c r="E26" s="315"/>
      <c r="F26" s="315"/>
      <c r="G26" s="315"/>
      <c r="H26" s="315"/>
    </row>
    <row r="27" spans="1:8" ht="12.75" customHeight="1">
      <c r="A27" s="315"/>
      <c r="B27" s="315"/>
      <c r="C27" s="315"/>
      <c r="D27" s="315"/>
      <c r="E27" s="315"/>
      <c r="F27" s="315"/>
      <c r="G27" s="315"/>
      <c r="H27" s="315"/>
    </row>
    <row r="28" spans="1:8" ht="12.75" customHeight="1">
      <c r="A28" s="315"/>
      <c r="B28" s="315"/>
      <c r="C28" s="315"/>
      <c r="D28" s="315"/>
      <c r="E28" s="315"/>
      <c r="F28" s="315"/>
      <c r="G28" s="315"/>
      <c r="H28" s="315"/>
    </row>
    <row r="29" spans="1:8" ht="12.75" customHeight="1">
      <c r="A29" s="315"/>
      <c r="B29" s="315"/>
      <c r="C29" s="315"/>
      <c r="D29" s="315"/>
      <c r="E29" s="315"/>
      <c r="F29" s="315"/>
      <c r="G29" s="315"/>
      <c r="H29" s="315"/>
    </row>
    <row r="30" spans="1:8" ht="12.75" customHeight="1">
      <c r="A30" s="315"/>
      <c r="B30" s="315"/>
      <c r="C30" s="315"/>
      <c r="D30" s="315"/>
      <c r="E30" s="315"/>
      <c r="F30" s="315"/>
      <c r="G30" s="315"/>
      <c r="H30" s="315"/>
    </row>
    <row r="31" spans="1:8" ht="12.75" customHeight="1">
      <c r="A31" s="315"/>
      <c r="B31" s="315"/>
      <c r="C31" s="315"/>
      <c r="D31" s="315"/>
      <c r="E31" s="315"/>
      <c r="F31" s="315"/>
      <c r="G31" s="315"/>
      <c r="H31" s="315"/>
    </row>
    <row r="32" spans="1:8" ht="12.75" customHeight="1">
      <c r="A32" s="315"/>
      <c r="B32" s="315"/>
      <c r="C32" s="315"/>
      <c r="D32" s="315"/>
      <c r="E32" s="315"/>
      <c r="F32" s="315"/>
      <c r="G32" s="315"/>
      <c r="H32" s="315"/>
    </row>
    <row r="33" spans="1:8" ht="12.75" customHeight="1">
      <c r="A33" s="315"/>
      <c r="B33" s="315"/>
      <c r="C33" s="315"/>
      <c r="D33" s="315"/>
      <c r="E33" s="315"/>
      <c r="F33" s="315"/>
      <c r="G33" s="315"/>
      <c r="H33" s="315"/>
    </row>
  </sheetData>
  <mergeCells count="4">
    <mergeCell ref="A1:F1"/>
    <mergeCell ref="A2:F2"/>
    <mergeCell ref="A3:F3"/>
    <mergeCell ref="A4:F4"/>
  </mergeCells>
  <printOptions horizontalCentered="1"/>
  <pageMargins left="0.7" right="0.7" top="0.75" bottom="0.75" header="0.3" footer="0.3"/>
  <pageSetup scale="88"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43"/>
  <sheetViews>
    <sheetView zoomScale="98" workbookViewId="0">
      <selection activeCell="I68" sqref="I68"/>
    </sheetView>
  </sheetViews>
  <sheetFormatPr baseColWidth="10" defaultColWidth="9.1640625" defaultRowHeight="12.75" customHeight="1"/>
  <cols>
    <col min="1" max="1" width="6" style="32" customWidth="1"/>
    <col min="2" max="2" width="52" style="32" customWidth="1"/>
    <col min="3" max="3" width="19.5" style="32" bestFit="1" customWidth="1"/>
    <col min="4" max="4" width="16.5" style="32" customWidth="1"/>
    <col min="5" max="5" width="17.6640625" style="32" bestFit="1" customWidth="1"/>
    <col min="6" max="16384" width="9.1640625" style="32"/>
  </cols>
  <sheetData>
    <row r="1" spans="1:13" ht="12.75" customHeight="1">
      <c r="A1" s="609" t="s">
        <v>22</v>
      </c>
      <c r="B1" s="609"/>
      <c r="C1" s="609"/>
      <c r="D1" s="609"/>
      <c r="E1" s="609"/>
      <c r="F1" s="226"/>
      <c r="G1" s="226"/>
      <c r="H1" s="329"/>
      <c r="I1" s="329"/>
      <c r="J1" s="329"/>
      <c r="K1" s="329"/>
      <c r="L1" s="329"/>
      <c r="M1" s="329"/>
    </row>
    <row r="2" spans="1:13" ht="12.75" customHeight="1">
      <c r="A2" s="616" t="str">
        <f>'Rate Change Calc'!A2:E2</f>
        <v>2016 Gas Decoupling Filing</v>
      </c>
      <c r="B2" s="616"/>
      <c r="C2" s="616"/>
      <c r="D2" s="616"/>
      <c r="E2" s="616"/>
      <c r="F2" s="226"/>
      <c r="G2" s="226"/>
      <c r="H2" s="329"/>
      <c r="I2" s="329"/>
      <c r="J2" s="329"/>
      <c r="K2" s="329"/>
      <c r="L2" s="329"/>
      <c r="M2" s="329"/>
    </row>
    <row r="3" spans="1:13" ht="12.75" customHeight="1">
      <c r="A3" s="609" t="s">
        <v>153</v>
      </c>
      <c r="B3" s="609"/>
      <c r="C3" s="609"/>
      <c r="D3" s="609"/>
      <c r="E3" s="609"/>
      <c r="F3" s="226"/>
      <c r="G3" s="226"/>
      <c r="H3" s="329"/>
      <c r="I3" s="329"/>
      <c r="J3" s="329"/>
      <c r="K3" s="329"/>
      <c r="L3" s="329"/>
      <c r="M3" s="329"/>
    </row>
    <row r="4" spans="1:13" ht="12.75" customHeight="1">
      <c r="A4" s="621" t="str">
        <f>'Rate Change Calc'!A4:E4</f>
        <v>Proposed Effective May 1, 2016</v>
      </c>
      <c r="B4" s="621"/>
      <c r="C4" s="621"/>
      <c r="D4" s="621"/>
      <c r="E4" s="621"/>
      <c r="F4" s="226"/>
      <c r="G4" s="226"/>
      <c r="H4" s="329"/>
      <c r="I4" s="329"/>
      <c r="J4" s="329"/>
      <c r="K4" s="329"/>
      <c r="L4" s="329"/>
      <c r="M4" s="329"/>
    </row>
    <row r="5" spans="1:13" ht="12.75" customHeight="1">
      <c r="A5" s="315"/>
      <c r="B5" s="315"/>
      <c r="C5" s="315"/>
      <c r="D5" s="315"/>
      <c r="E5" s="315"/>
      <c r="F5" s="315"/>
      <c r="G5" s="315"/>
      <c r="H5" s="316"/>
      <c r="I5" s="316"/>
      <c r="J5" s="316"/>
      <c r="K5" s="316"/>
      <c r="L5" s="316"/>
      <c r="M5" s="316"/>
    </row>
    <row r="6" spans="1:13" ht="12.75" customHeight="1">
      <c r="A6" s="315"/>
      <c r="B6" s="315"/>
      <c r="C6" s="315"/>
      <c r="D6" s="315"/>
      <c r="E6" s="315"/>
      <c r="F6" s="315"/>
      <c r="G6" s="315"/>
      <c r="H6" s="316"/>
      <c r="I6" s="316"/>
      <c r="J6" s="316"/>
      <c r="K6" s="316"/>
      <c r="L6" s="316"/>
      <c r="M6" s="316"/>
    </row>
    <row r="7" spans="1:13" ht="25.5" customHeight="1">
      <c r="A7" s="289" t="s">
        <v>26</v>
      </c>
      <c r="B7" s="227"/>
      <c r="C7" s="289" t="s">
        <v>27</v>
      </c>
      <c r="D7" s="289" t="s">
        <v>28</v>
      </c>
      <c r="E7" s="289" t="s">
        <v>144</v>
      </c>
      <c r="F7" s="315"/>
      <c r="G7" s="315"/>
      <c r="H7" s="316"/>
      <c r="I7" s="316"/>
      <c r="J7" s="316"/>
      <c r="K7" s="316"/>
      <c r="L7" s="316"/>
      <c r="M7" s="316"/>
    </row>
    <row r="8" spans="1:13" ht="12.75" customHeight="1">
      <c r="A8" s="315"/>
      <c r="B8" s="392" t="s">
        <v>30</v>
      </c>
      <c r="C8" s="392" t="s">
        <v>31</v>
      </c>
      <c r="D8" s="392" t="s">
        <v>32</v>
      </c>
      <c r="E8" s="392" t="s">
        <v>33</v>
      </c>
      <c r="F8" s="315"/>
      <c r="G8" s="315"/>
      <c r="H8" s="316"/>
      <c r="I8" s="316"/>
      <c r="J8" s="316"/>
      <c r="K8" s="316"/>
      <c r="L8" s="316"/>
      <c r="M8" s="316"/>
    </row>
    <row r="9" spans="1:13" ht="12.75" customHeight="1">
      <c r="A9" s="392">
        <v>1</v>
      </c>
      <c r="B9" s="228"/>
      <c r="C9" s="392"/>
      <c r="D9" s="392"/>
      <c r="E9" s="392"/>
      <c r="F9" s="315"/>
      <c r="G9" s="315"/>
      <c r="H9" s="316"/>
      <c r="I9" s="316"/>
      <c r="J9" s="316"/>
      <c r="K9" s="316"/>
      <c r="L9" s="316"/>
      <c r="M9" s="316"/>
    </row>
    <row r="10" spans="1:13" ht="12.75" customHeight="1">
      <c r="A10" s="392">
        <f t="shared" ref="A10:A28" si="0">A9+1</f>
        <v>2</v>
      </c>
      <c r="B10" s="315" t="s">
        <v>45</v>
      </c>
      <c r="C10" s="229" t="s">
        <v>154</v>
      </c>
      <c r="D10" s="291">
        <f>'Account Balance'!AQ14</f>
        <v>1219269.8692787681</v>
      </c>
      <c r="E10" s="291">
        <f>'Account Balance'!AQ21</f>
        <v>949203.42496768758</v>
      </c>
      <c r="F10" s="315"/>
      <c r="G10" s="315"/>
      <c r="H10" s="316"/>
      <c r="I10" s="316"/>
      <c r="J10" s="316"/>
      <c r="K10" s="316"/>
      <c r="L10" s="316"/>
      <c r="M10" s="316"/>
    </row>
    <row r="11" spans="1:13" ht="12.75" customHeight="1">
      <c r="A11" s="392">
        <f t="shared" si="0"/>
        <v>3</v>
      </c>
      <c r="B11" s="316"/>
      <c r="C11" s="316"/>
      <c r="D11" s="316"/>
      <c r="E11" s="316"/>
      <c r="F11" s="315"/>
      <c r="G11" s="315"/>
      <c r="H11" s="316"/>
      <c r="I11" s="316"/>
      <c r="J11" s="316"/>
      <c r="K11" s="316"/>
      <c r="L11" s="316"/>
      <c r="M11" s="316"/>
    </row>
    <row r="12" spans="1:13" s="316" customFormat="1" ht="12.75" customHeight="1">
      <c r="A12" s="392">
        <f t="shared" si="0"/>
        <v>4</v>
      </c>
      <c r="B12" s="315" t="s">
        <v>155</v>
      </c>
      <c r="C12" s="229" t="s">
        <v>154</v>
      </c>
      <c r="D12" s="291">
        <f>'Account Balance'!AM37</f>
        <v>51590267.038251668</v>
      </c>
      <c r="E12" s="291">
        <f>'Account Balance'!AM46</f>
        <v>10454405.387318356</v>
      </c>
      <c r="F12" s="315"/>
      <c r="G12" s="315"/>
    </row>
    <row r="13" spans="1:13" s="316" customFormat="1" ht="12.75" customHeight="1">
      <c r="A13" s="392">
        <f t="shared" si="0"/>
        <v>5</v>
      </c>
      <c r="B13" s="315"/>
      <c r="C13" s="392"/>
      <c r="D13" s="351"/>
      <c r="E13" s="351"/>
      <c r="F13" s="315"/>
      <c r="G13" s="315"/>
    </row>
    <row r="14" spans="1:13" s="316" customFormat="1" ht="12.75" customHeight="1">
      <c r="A14" s="392">
        <f t="shared" si="0"/>
        <v>6</v>
      </c>
      <c r="B14" s="315" t="s">
        <v>48</v>
      </c>
      <c r="C14" s="229" t="s">
        <v>154</v>
      </c>
      <c r="D14" s="291">
        <f>'Account Balance'!AM54</f>
        <v>1522589.184489547</v>
      </c>
      <c r="E14" s="291">
        <f>'Account Balance'!AM63</f>
        <v>398148.00235802005</v>
      </c>
      <c r="F14" s="315"/>
      <c r="G14" s="315"/>
    </row>
    <row r="15" spans="1:13" s="316" customFormat="1" ht="12.75" customHeight="1">
      <c r="A15" s="392">
        <f t="shared" si="0"/>
        <v>7</v>
      </c>
      <c r="B15" s="315"/>
      <c r="C15" s="392"/>
      <c r="D15" s="351"/>
      <c r="E15" s="351"/>
      <c r="F15" s="315"/>
      <c r="G15" s="315"/>
    </row>
    <row r="16" spans="1:13" s="316" customFormat="1" ht="12.75" customHeight="1">
      <c r="A16" s="392">
        <f t="shared" si="0"/>
        <v>8</v>
      </c>
      <c r="B16" s="315" t="s">
        <v>156</v>
      </c>
      <c r="C16" s="392" t="s">
        <v>157</v>
      </c>
      <c r="D16" s="285">
        <f>D12+D14+D10</f>
        <v>54332126.092019983</v>
      </c>
      <c r="E16" s="285">
        <f>E12+E14+E10</f>
        <v>11801756.814644063</v>
      </c>
      <c r="F16" s="315"/>
      <c r="G16" s="315"/>
    </row>
    <row r="17" spans="1:7" s="316" customFormat="1" ht="12.75" customHeight="1">
      <c r="A17" s="392">
        <f t="shared" si="0"/>
        <v>9</v>
      </c>
      <c r="B17" s="315"/>
      <c r="C17" s="392"/>
      <c r="D17" s="351"/>
      <c r="E17" s="351"/>
      <c r="F17" s="315"/>
      <c r="G17" s="315"/>
    </row>
    <row r="18" spans="1:7" ht="12.75" customHeight="1">
      <c r="A18" s="392">
        <f t="shared" si="0"/>
        <v>10</v>
      </c>
      <c r="B18" s="315" t="s">
        <v>158</v>
      </c>
      <c r="C18" s="229" t="s">
        <v>99</v>
      </c>
      <c r="D18" s="312">
        <f>'Gas ERF UG-130138 Conv Fctr'!$E$19</f>
        <v>0.95589999999999997</v>
      </c>
      <c r="E18" s="312">
        <f>'Gas ERF UG-130138 Conv Fctr'!$E$19</f>
        <v>0.95589999999999997</v>
      </c>
      <c r="F18" s="315"/>
      <c r="G18" s="315"/>
    </row>
    <row r="19" spans="1:7" ht="12.75" customHeight="1">
      <c r="A19" s="392">
        <f t="shared" si="0"/>
        <v>11</v>
      </c>
      <c r="B19" s="315"/>
      <c r="C19" s="229"/>
      <c r="D19" s="285"/>
      <c r="E19" s="285"/>
      <c r="F19" s="315"/>
      <c r="G19" s="315"/>
    </row>
    <row r="20" spans="1:7" ht="12.75" customHeight="1">
      <c r="A20" s="392">
        <f t="shared" si="0"/>
        <v>12</v>
      </c>
      <c r="B20" s="315" t="s">
        <v>159</v>
      </c>
      <c r="C20" s="392" t="s">
        <v>160</v>
      </c>
      <c r="D20" s="285">
        <f>D10/D$18</f>
        <v>1275520.3151781233</v>
      </c>
      <c r="E20" s="285">
        <f>E10/E$18</f>
        <v>992994.48160653585</v>
      </c>
      <c r="F20" s="315"/>
      <c r="G20" s="315"/>
    </row>
    <row r="21" spans="1:7" ht="12.75" customHeight="1">
      <c r="A21" s="392">
        <f t="shared" si="0"/>
        <v>13</v>
      </c>
      <c r="B21" s="316"/>
      <c r="C21" s="316"/>
      <c r="D21" s="316"/>
      <c r="E21" s="316"/>
      <c r="F21" s="315"/>
      <c r="G21" s="315"/>
    </row>
    <row r="22" spans="1:7" s="316" customFormat="1" ht="12.75" customHeight="1">
      <c r="A22" s="392">
        <f t="shared" si="0"/>
        <v>14</v>
      </c>
      <c r="B22" s="315" t="s">
        <v>161</v>
      </c>
      <c r="C22" s="392" t="s">
        <v>162</v>
      </c>
      <c r="D22" s="285">
        <f>D12/D$18</f>
        <v>53970359.91029571</v>
      </c>
      <c r="E22" s="285">
        <f>E12/E$18</f>
        <v>10936714.496619266</v>
      </c>
      <c r="F22" s="315"/>
      <c r="G22" s="315"/>
    </row>
    <row r="23" spans="1:7" s="316" customFormat="1" ht="12.75" customHeight="1">
      <c r="A23" s="392">
        <f t="shared" si="0"/>
        <v>15</v>
      </c>
      <c r="B23" s="315"/>
      <c r="C23" s="229"/>
      <c r="D23" s="315"/>
      <c r="E23" s="315"/>
      <c r="F23" s="315"/>
      <c r="G23" s="315"/>
    </row>
    <row r="24" spans="1:7" s="316" customFormat="1" ht="12.75" customHeight="1">
      <c r="A24" s="392">
        <f t="shared" si="0"/>
        <v>16</v>
      </c>
      <c r="B24" s="315" t="s">
        <v>163</v>
      </c>
      <c r="C24" s="392" t="s">
        <v>164</v>
      </c>
      <c r="D24" s="285">
        <f>D14/D$18</f>
        <v>1592833.1253159819</v>
      </c>
      <c r="E24" s="285">
        <f>E14/E$18</f>
        <v>416516.3744722461</v>
      </c>
      <c r="F24" s="315"/>
      <c r="G24" s="315"/>
    </row>
    <row r="25" spans="1:7" s="316" customFormat="1" ht="12.75" customHeight="1">
      <c r="A25" s="392">
        <f t="shared" si="0"/>
        <v>17</v>
      </c>
      <c r="B25" s="315"/>
      <c r="C25" s="229"/>
      <c r="D25" s="315"/>
      <c r="E25" s="315"/>
      <c r="F25" s="315"/>
      <c r="G25" s="315"/>
    </row>
    <row r="26" spans="1:7" s="316" customFormat="1" ht="12.75" customHeight="1">
      <c r="A26" s="392">
        <f t="shared" si="0"/>
        <v>18</v>
      </c>
      <c r="B26" s="315" t="s">
        <v>165</v>
      </c>
      <c r="C26" s="392" t="s">
        <v>166</v>
      </c>
      <c r="D26" s="285">
        <f>D22+D24+D20</f>
        <v>56838713.350789815</v>
      </c>
      <c r="E26" s="285">
        <f>E22+E24+E20</f>
        <v>12346225.352698047</v>
      </c>
      <c r="F26" s="315"/>
      <c r="G26" s="315"/>
    </row>
    <row r="27" spans="1:7" s="316" customFormat="1" ht="12.75" customHeight="1">
      <c r="A27" s="392">
        <f t="shared" si="0"/>
        <v>19</v>
      </c>
      <c r="B27" s="315"/>
      <c r="C27" s="229"/>
      <c r="D27" s="315"/>
      <c r="E27" s="315"/>
      <c r="F27" s="315"/>
      <c r="G27" s="315"/>
    </row>
    <row r="28" spans="1:7" ht="12.75" customHeight="1">
      <c r="A28" s="392">
        <f t="shared" si="0"/>
        <v>20</v>
      </c>
      <c r="B28" s="321" t="str">
        <f>'Rate Change Calc'!B54</f>
        <v xml:space="preserve">* Includes Schedules 31, 31T, 41, 41T, 86, &amp; 86T.  </v>
      </c>
      <c r="C28" s="315"/>
      <c r="D28" s="285"/>
      <c r="E28" s="285"/>
      <c r="F28" s="315"/>
      <c r="G28" s="315"/>
    </row>
    <row r="29" spans="1:7" ht="12.75" customHeight="1">
      <c r="A29" s="392"/>
      <c r="B29" s="315"/>
      <c r="C29" s="315"/>
      <c r="D29" s="285"/>
      <c r="E29" s="285"/>
      <c r="F29" s="315"/>
      <c r="G29" s="315"/>
    </row>
    <row r="30" spans="1:7" ht="12.75" customHeight="1">
      <c r="A30" s="315"/>
      <c r="B30" s="315"/>
      <c r="C30" s="315"/>
      <c r="D30" s="315"/>
      <c r="E30" s="315"/>
      <c r="F30" s="315"/>
      <c r="G30" s="315"/>
    </row>
    <row r="31" spans="1:7" ht="12.75" customHeight="1">
      <c r="A31" s="315"/>
      <c r="B31" s="315"/>
      <c r="C31" s="315"/>
      <c r="D31" s="285"/>
      <c r="E31" s="285"/>
      <c r="F31" s="315"/>
      <c r="G31" s="315"/>
    </row>
    <row r="32" spans="1:7" ht="12.75" customHeight="1">
      <c r="A32" s="315"/>
      <c r="B32" s="315"/>
      <c r="C32" s="315"/>
      <c r="D32" s="315"/>
      <c r="E32" s="315"/>
      <c r="F32" s="315"/>
      <c r="G32" s="315"/>
    </row>
    <row r="33" spans="1:7" ht="12.75" customHeight="1">
      <c r="A33" s="315"/>
      <c r="B33" s="316"/>
      <c r="C33" s="316"/>
      <c r="D33" s="316"/>
      <c r="E33" s="316"/>
      <c r="F33" s="315"/>
      <c r="G33" s="315"/>
    </row>
    <row r="34" spans="1:7" ht="12.75" customHeight="1">
      <c r="A34" s="315"/>
      <c r="B34" s="316"/>
      <c r="C34" s="316"/>
      <c r="D34" s="316"/>
      <c r="E34" s="316"/>
      <c r="F34" s="315"/>
      <c r="G34" s="315"/>
    </row>
    <row r="35" spans="1:7" ht="12.75" customHeight="1">
      <c r="A35" s="315"/>
      <c r="B35" s="316"/>
      <c r="C35" s="316"/>
      <c r="D35" s="316"/>
      <c r="E35" s="316"/>
      <c r="F35" s="315"/>
      <c r="G35" s="315"/>
    </row>
    <row r="36" spans="1:7" ht="12.75" customHeight="1">
      <c r="A36" s="315"/>
      <c r="B36" s="315"/>
      <c r="C36" s="315"/>
      <c r="D36" s="315"/>
      <c r="E36" s="315"/>
      <c r="F36" s="315"/>
      <c r="G36" s="315"/>
    </row>
    <row r="37" spans="1:7" ht="12.75" customHeight="1">
      <c r="A37" s="315"/>
      <c r="B37" s="315"/>
      <c r="C37" s="315"/>
      <c r="D37" s="315"/>
      <c r="E37" s="315"/>
      <c r="F37" s="315"/>
      <c r="G37" s="315"/>
    </row>
    <row r="38" spans="1:7" ht="12.75" customHeight="1">
      <c r="A38" s="315"/>
      <c r="B38" s="315"/>
      <c r="C38" s="315"/>
      <c r="D38" s="315"/>
      <c r="E38" s="315"/>
      <c r="F38" s="315"/>
      <c r="G38" s="315"/>
    </row>
    <row r="39" spans="1:7" ht="12.75" customHeight="1">
      <c r="A39" s="315"/>
      <c r="B39" s="315"/>
      <c r="C39" s="315"/>
      <c r="D39" s="315"/>
      <c r="E39" s="315"/>
      <c r="F39" s="315"/>
      <c r="G39" s="315"/>
    </row>
    <row r="40" spans="1:7" ht="12.75" customHeight="1">
      <c r="A40" s="315"/>
      <c r="B40" s="315"/>
      <c r="C40" s="315"/>
      <c r="D40" s="315"/>
      <c r="E40" s="315"/>
      <c r="F40" s="315"/>
      <c r="G40" s="315"/>
    </row>
    <row r="41" spans="1:7" ht="12.75" customHeight="1">
      <c r="A41" s="315"/>
      <c r="B41" s="315"/>
      <c r="C41" s="315"/>
      <c r="D41" s="315"/>
      <c r="E41" s="315"/>
      <c r="F41" s="315"/>
      <c r="G41" s="315"/>
    </row>
    <row r="42" spans="1:7" ht="12.75" customHeight="1">
      <c r="A42" s="315"/>
      <c r="B42" s="315"/>
      <c r="C42" s="315"/>
      <c r="D42" s="315"/>
      <c r="E42" s="315"/>
      <c r="F42" s="315"/>
      <c r="G42" s="315"/>
    </row>
    <row r="43" spans="1:7" ht="12.75" customHeight="1">
      <c r="A43" s="315"/>
      <c r="B43" s="315"/>
      <c r="C43" s="315"/>
      <c r="D43" s="315"/>
      <c r="E43" s="315"/>
      <c r="F43" s="315"/>
      <c r="G43" s="315"/>
    </row>
  </sheetData>
  <mergeCells count="4">
    <mergeCell ref="A1:E1"/>
    <mergeCell ref="A2:E2"/>
    <mergeCell ref="A3:E3"/>
    <mergeCell ref="A4:E4"/>
  </mergeCells>
  <printOptions horizontalCentered="1"/>
  <pageMargins left="0.7" right="0.7" top="0.75" bottom="0.75" header="0.3" footer="0.3"/>
  <pageSetup fitToHeight="0" orientation="landscape" horizontalDpi="1200" verticalDpi="1200" r:id="rId1"/>
  <headerFooter>
    <oddHeader xml:space="preserve">&amp;R&amp;"Times New Roman,Regular"&amp;12Exh. AEW-02&amp;"-,Regular"&amp;11
</oddHeader>
    <oddFooter xml:space="preserve">&amp;L&amp;"Times New Roman,Regular"&amp;12&amp;K000000Tab: &amp;A&amp;R&amp;"Times New Roman,Regular"&amp;12Page &amp;P of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2019-11-22T08:00:00+00:00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04E7B9-33E0-448B-BFAB-43CA36E1FC1B}"/>
</file>

<file path=customXml/itemProps2.xml><?xml version="1.0" encoding="utf-8"?>
<ds:datastoreItem xmlns:ds="http://schemas.openxmlformats.org/officeDocument/2006/customXml" ds:itemID="{0D4C395E-E382-4697-A59D-9843BDC21F97}">
  <ds:schemaRefs>
    <ds:schemaRef ds:uri="http://schemas.microsoft.com/sharepoint/v3/contenttype/forms"/>
  </ds:schemaRefs>
</ds:datastoreItem>
</file>

<file path=customXml/itemProps3.xml><?xml version="1.0" encoding="utf-8"?>
<ds:datastoreItem xmlns:ds="http://schemas.openxmlformats.org/officeDocument/2006/customXml" ds:itemID="{D99F9B38-114E-40E9-AFA3-707686D6CCA9}">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D15B36F-E9D2-4FFC-ADF6-5F0B4FEF4F6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37</vt:i4>
      </vt:variant>
      <vt:variant>
        <vt:lpstr>Named Ranges</vt:lpstr>
      </vt:variant>
      <vt:variant>
        <vt:i4>21</vt:i4>
      </vt:variant>
    </vt:vector>
  </HeadingPairs>
  <TitlesOfParts>
    <vt:vector size="58" baseType="lpstr">
      <vt:lpstr>Residential LE Allowance</vt:lpstr>
      <vt:lpstr>Sch 31-41-86 LE Allowance</vt:lpstr>
      <vt:lpstr>Sch 85-87 LE Allowance</vt:lpstr>
      <vt:lpstr>Rate Change Calc</vt:lpstr>
      <vt:lpstr>Cost of Capital</vt:lpstr>
      <vt:lpstr>3% Test</vt:lpstr>
      <vt:lpstr>Gas Earn Test</vt:lpstr>
      <vt:lpstr>Earnings Test Allocation</vt:lpstr>
      <vt:lpstr>Deferral Balance</vt:lpstr>
      <vt:lpstr>Sch142 NonRes Rate Development</vt:lpstr>
      <vt:lpstr>Account Balance</vt:lpstr>
      <vt:lpstr>Amort Estimate</vt:lpstr>
      <vt:lpstr>F2015 Forecast</vt:lpstr>
      <vt:lpstr>Summary of Rates</vt:lpstr>
      <vt:lpstr>Rate Impact - Amort</vt:lpstr>
      <vt:lpstr>Rate Impact - K-Factor</vt:lpstr>
      <vt:lpstr>Total Rate Impact</vt:lpstr>
      <vt:lpstr>Res Bill</vt:lpstr>
      <vt:lpstr>K-Factor Impact</vt:lpstr>
      <vt:lpstr>Work Papers--&gt;</vt:lpstr>
      <vt:lpstr>Rate Impact Rev</vt:lpstr>
      <vt:lpstr>Sch 142 Revenue Over ERF</vt:lpstr>
      <vt:lpstr>Rate Plan Rates</vt:lpstr>
      <vt:lpstr>Sch142 Amort Rate % Calc</vt:lpstr>
      <vt:lpstr>Sch142 NonRes Amort Rate Dev</vt:lpstr>
      <vt:lpstr>Res Deferral Calc 2015</vt:lpstr>
      <vt:lpstr>Non-Res Deferral Calc 2015</vt:lpstr>
      <vt:lpstr>CY2015 Data</vt:lpstr>
      <vt:lpstr>Gas Margin Calc</vt:lpstr>
      <vt:lpstr>2015 Res Deferral Calc Comp</vt:lpstr>
      <vt:lpstr>2015 NonRes Deferral Calc Comp</vt:lpstr>
      <vt:lpstr>2013 ERF Margin Rate</vt:lpstr>
      <vt:lpstr>2013 ERF - Rate Design</vt:lpstr>
      <vt:lpstr>Gas ERF UG-130138 Conv Fctr</vt:lpstr>
      <vt:lpstr>JPG-4</vt:lpstr>
      <vt:lpstr>JPG-5</vt:lpstr>
      <vt:lpstr>ERF Customer Counts</vt:lpstr>
      <vt:lpstr>'2013 ERF - Rate Design'!Print_Area</vt:lpstr>
      <vt:lpstr>'3% Test'!Print_Area</vt:lpstr>
      <vt:lpstr>'Account Balance'!Print_Area</vt:lpstr>
      <vt:lpstr>'Deferral Balance'!Print_Area</vt:lpstr>
      <vt:lpstr>'Earnings Test Allocation'!Print_Area</vt:lpstr>
      <vt:lpstr>'F2015 Forecast'!Print_Area</vt:lpstr>
      <vt:lpstr>'Gas Earn Test'!Print_Area</vt:lpstr>
      <vt:lpstr>'Rate Change Calc'!Print_Area</vt:lpstr>
      <vt:lpstr>'Rate Impact - Amort'!Print_Area</vt:lpstr>
      <vt:lpstr>'Rate Impact - K-Factor'!Print_Area</vt:lpstr>
      <vt:lpstr>'Rate Plan Rates'!Print_Area</vt:lpstr>
      <vt:lpstr>'Sch142 NonRes Rate Development'!Print_Area</vt:lpstr>
      <vt:lpstr>'Summary of Rates'!Print_Area</vt:lpstr>
      <vt:lpstr>'2013 ERF - Rate Design'!Print_Titles</vt:lpstr>
      <vt:lpstr>'Account Balance'!Print_Titles</vt:lpstr>
      <vt:lpstr>'Rate Impact - Amort'!Print_Titles</vt:lpstr>
      <vt:lpstr>'Rate Impact - K-Factor'!Print_Titles</vt:lpstr>
      <vt:lpstr>'Sch 142 Revenue Over ERF'!Print_Titles</vt:lpstr>
      <vt:lpstr>'Summary of Rates'!Print_Titles</vt:lpstr>
      <vt:lpstr>'Total Rate Impact'!Print_Titles</vt:lpstr>
      <vt:lpstr>Return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Schmidt, Paul</dc:creator>
  <cp:keywords/>
  <dc:description/>
  <cp:lastModifiedBy>Marie Barlow</cp:lastModifiedBy>
  <cp:revision/>
  <cp:lastPrinted>2019-11-22T19:54:45Z</cp:lastPrinted>
  <dcterms:created xsi:type="dcterms:W3CDTF">2012-10-25T22:13:28Z</dcterms:created>
  <dcterms:modified xsi:type="dcterms:W3CDTF">2019-11-22T21:42:52Z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